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Z:\GESTIONE QUALITA'\AQ Varie\REACH RoHS CMRT CRT ERMT PROP 65 TSCA CRM DUAL USE POPs PFAS (Surveys and Templates - declarations)\"/>
    </mc:Choice>
  </mc:AlternateContent>
  <xr:revisionPtr revIDLastSave="0" documentId="13_ncr:1_{6E5997E7-C192-4D35-A242-71304ECC692D}"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S6" i="5"/>
  <c r="T6" i="5"/>
  <c r="V7" i="5"/>
  <c r="J7" i="5"/>
  <c r="S7" i="5"/>
  <c r="T7" i="5"/>
  <c r="V8" i="5"/>
  <c r="J8" i="5"/>
  <c r="S8" i="5"/>
  <c r="T8" i="5"/>
  <c r="V9" i="5"/>
  <c r="J9" i="5"/>
  <c r="S9" i="5"/>
  <c r="T9" i="5"/>
  <c r="V10" i="5"/>
  <c r="J10" i="5"/>
  <c r="S10" i="5"/>
  <c r="T10" i="5"/>
  <c r="V11" i="5"/>
  <c r="J11" i="5"/>
  <c r="S11" i="5"/>
  <c r="T11" i="5"/>
  <c r="V12" i="5"/>
  <c r="J12" i="5"/>
  <c r="S12" i="5"/>
  <c r="T12" i="5"/>
  <c r="V13" i="5"/>
  <c r="J13" i="5"/>
  <c r="S13" i="5"/>
  <c r="T13" i="5"/>
  <c r="V14" i="5"/>
  <c r="J14" i="5"/>
  <c r="S14" i="5"/>
  <c r="T14" i="5"/>
  <c r="V15" i="5"/>
  <c r="J15" i="5"/>
  <c r="S15" i="5"/>
  <c r="T15" i="5"/>
  <c r="V16" i="5"/>
  <c r="J16" i="5"/>
  <c r="S16" i="5"/>
  <c r="T16" i="5"/>
  <c r="V17" i="5"/>
  <c r="J17" i="5"/>
  <c r="S17" i="5"/>
  <c r="T17" i="5"/>
  <c r="V18" i="5"/>
  <c r="J18" i="5"/>
  <c r="E18" i="5"/>
  <c r="S18" i="5"/>
  <c r="T18" i="5"/>
  <c r="V19" i="5"/>
  <c r="J19" i="5"/>
  <c r="E19" i="5"/>
  <c r="S19" i="5"/>
  <c r="T19" i="5"/>
  <c r="V20" i="5"/>
  <c r="J20" i="5"/>
  <c r="E20" i="5"/>
  <c r="S20" i="5"/>
  <c r="T20" i="5"/>
  <c r="V21" i="5"/>
  <c r="J21" i="5"/>
  <c r="E21" i="5"/>
  <c r="S21" i="5"/>
  <c r="T21" i="5"/>
  <c r="V22" i="5"/>
  <c r="J22" i="5"/>
  <c r="E22" i="5"/>
  <c r="S22" i="5"/>
  <c r="T22" i="5"/>
  <c r="V23" i="5"/>
  <c r="J23" i="5"/>
  <c r="E23" i="5"/>
  <c r="S23" i="5"/>
  <c r="T23" i="5"/>
  <c r="V24" i="5"/>
  <c r="J24" i="5"/>
  <c r="E24" i="5"/>
  <c r="S24" i="5"/>
  <c r="T24" i="5"/>
  <c r="V25" i="5"/>
  <c r="J25" i="5"/>
  <c r="E25" i="5"/>
  <c r="S25" i="5"/>
  <c r="T25" i="5"/>
  <c r="V26" i="5"/>
  <c r="J26" i="5"/>
  <c r="E26" i="5"/>
  <c r="S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27"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I10" i="5"/>
  <c r="R10" i="5"/>
  <c r="H10" i="5"/>
  <c r="H13" i="5"/>
  <c r="R13" i="5"/>
  <c r="I13" i="5"/>
  <c r="H7" i="5"/>
  <c r="R7" i="5"/>
  <c r="I7" i="5"/>
  <c r="H17" i="5"/>
  <c r="I17" i="5"/>
  <c r="R17" i="5"/>
  <c r="G66" i="6"/>
  <c r="H66" i="6"/>
  <c r="C66" i="6"/>
  <c r="G67" i="6"/>
  <c r="H67" i="6"/>
  <c r="D67" i="6"/>
  <c r="G65" i="6"/>
  <c r="H65" i="6"/>
  <c r="C65" i="6"/>
  <c r="I12" i="5"/>
  <c r="R12" i="5"/>
  <c r="H12" i="5"/>
  <c r="H9" i="5"/>
  <c r="I9" i="5"/>
  <c r="R9" i="5"/>
  <c r="R8" i="5"/>
  <c r="H8" i="5"/>
  <c r="I8" i="5"/>
  <c r="H15" i="5"/>
  <c r="I15" i="5"/>
  <c r="R15" i="5"/>
  <c r="H11" i="5"/>
  <c r="R11" i="5"/>
  <c r="I11" i="5"/>
  <c r="I14" i="5"/>
  <c r="R14" i="5"/>
  <c r="H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<sst xmlns="http://schemas.openxmlformats.org/spreadsheetml/2006/main" count="22401" uniqueCount="15831">
  <si>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</si>
  <si>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</si>
  <si>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</si>
  <si>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</si>
  <si>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</si>
  <si>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</si>
  <si>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</si>
  <si>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</si>
  <si>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</si>
  <si>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</si>
  <si>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</si>
  <si>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</si>
  <si>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</si>
  <si>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</si>
  <si>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</si>
  <si>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</si>
  <si>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</si>
  <si>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</si>
  <si>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</si>
  <si>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</si>
  <si>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</si>
  <si>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</si>
  <si>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</si>
  <si>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</si>
  <si>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</si>
  <si>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</si>
  <si>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</si>
  <si>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</si>
  <si>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</si>
  <si>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</si>
  <si>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</si>
  <si>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</si>
  <si>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</si>
  <si>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</si>
  <si>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</si>
  <si>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</si>
  <si>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</si>
  <si>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</si>
  <si>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</si>
  <si>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</si>
  <si>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</si>
  <si>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</si>
  <si>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</si>
  <si>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</si>
  <si>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</si>
  <si>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</si>
  <si>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</si>
  <si>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</si>
  <si>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</si>
  <si>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</si>
  <si>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</si>
  <si>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</si>
  <si>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</si>
  <si>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</si>
  <si>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</si>
  <si>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</si>
  <si>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</si>
  <si>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</si>
  <si>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</si>
  <si>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</si>
  <si>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</si>
  <si>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</si>
  <si>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</si>
  <si>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</si>
  <si>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</si>
  <si>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</si>
  <si>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</si>
  <si>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</si>
  <si>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</si>
  <si>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</si>
  <si>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</si>
  <si>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</si>
  <si>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</si>
  <si>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</si>
  <si>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</si>
  <si>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</si>
  <si>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</si>
  <si>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</si>
  <si>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</si>
  <si>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</si>
  <si>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</si>
  <si>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</si>
  <si>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</si>
  <si>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</si>
  <si>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</si>
  <si>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</si>
  <si>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</si>
  <si>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</si>
  <si>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</si>
  <si>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</si>
  <si>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</si>
  <si>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</si>
  <si>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</si>
  <si>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</si>
  <si>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</si>
  <si>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</si>
  <si>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</si>
  <si>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</si>
  <si>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</si>
  <si>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</si>
  <si>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</si>
  <si>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</si>
  <si>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</si>
  <si>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</si>
  <si>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</si>
  <si>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</si>
  <si>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</si>
  <si>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</si>
  <si>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</si>
  <si>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</si>
  <si>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</si>
  <si>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</si>
  <si>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</si>
  <si>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</si>
  <si>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</si>
  <si>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</si>
  <si>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</si>
  <si>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</si>
  <si>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</si>
  <si>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</si>
  <si>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</si>
  <si>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</si>
  <si>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</si>
  <si>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</si>
  <si>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</si>
  <si>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</si>
  <si>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</si>
  <si>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</si>
  <si>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</si>
  <si>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</si>
  <si>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</si>
  <si>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</si>
  <si>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</si>
  <si>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</si>
  <si>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</si>
  <si>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</si>
  <si>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</si>
  <si>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</si>
  <si>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</si>
  <si>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</si>
  <si>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</si>
  <si>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</si>
  <si>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</si>
  <si>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</si>
  <si>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</si>
  <si>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</si>
  <si>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</si>
  <si>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</si>
  <si>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</si>
  <si>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</si>
  <si>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</si>
  <si>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</si>
  <si>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</si>
  <si>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</si>
  <si>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</si>
  <si>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</si>
  <si>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</si>
  <si>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</si>
  <si>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</si>
  <si>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</si>
  <si>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</si>
  <si>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</si>
  <si>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</si>
  <si>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</si>
  <si>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</si>
  <si>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</si>
  <si>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</si>
  <si>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</si>
  <si>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</si>
  <si>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</si>
  <si>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</si>
  <si>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</si>
  <si>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</si>
  <si>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</si>
  <si>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</si>
  <si>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</si>
  <si>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</si>
  <si>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</si>
  <si>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</si>
  <si>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</si>
  <si>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</si>
  <si>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</si>
  <si>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</si>
  <si>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</si>
  <si>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</si>
  <si>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</si>
  <si>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</si>
  <si>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</si>
  <si>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</si>
  <si>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</si>
  <si>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</si>
  <si>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</si>
  <si>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</si>
  <si>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</si>
  <si>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</si>
  <si>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</si>
  <si>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</si>
  <si>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</si>
  <si>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</si>
  <si>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</si>
  <si>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</si>
  <si>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</si>
  <si>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</si>
  <si>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</si>
  <si>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</si>
  <si>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</si>
  <si>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</si>
  <si>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</si>
  <si>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</si>
  <si>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</si>
  <si>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</si>
  <si>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</si>
  <si>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</si>
  <si>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</si>
  <si>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</si>
  <si>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</si>
  <si>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</si>
  <si>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</si>
  <si>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</si>
  <si>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</si>
  <si>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</si>
  <si>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</si>
  <si>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</si>
  <si>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</si>
  <si>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</si>
  <si>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</si>
  <si>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</si>
  <si>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</si>
  <si>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</si>
  <si>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</si>
  <si>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</si>
  <si>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</si>
  <si>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</si>
  <si>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</si>
  <si>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</si>
  <si>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</si>
  <si>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</si>
  <si>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</si>
  <si>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</si>
  <si>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</si>
  <si>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</si>
  <si>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</si>
  <si>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</si>
  <si>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</si>
  <si>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</si>
  <si>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</si>
  <si>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</si>
  <si>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</si>
  <si>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</si>
  <si>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</si>
  <si>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</si>
  <si>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</si>
  <si>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</si>
  <si>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</si>
  <si>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</si>
  <si>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</si>
  <si>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</si>
  <si>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</si>
  <si>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</si>
  <si>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</si>
  <si>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</si>
  <si>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</si>
  <si>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</si>
  <si>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</si>
  <si>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</si>
  <si>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</si>
  <si>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</si>
  <si>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</si>
  <si>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</si>
  <si>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</si>
  <si>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</si>
  <si>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</si>
  <si>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</si>
  <si>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</si>
  <si>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</si>
  <si>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</si>
  <si>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</si>
  <si>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</si>
  <si>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</si>
  <si>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</si>
  <si>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</si>
  <si>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</si>
  <si>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</si>
  <si>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</si>
  <si>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</si>
  <si>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</si>
  <si>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</si>
  <si>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</si>
  <si>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</si>
  <si>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</si>
  <si>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</si>
  <si>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</si>
  <si>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</si>
  <si>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</si>
  <si>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</si>
  <si>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</si>
  <si>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</si>
  <si>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</si>
  <si>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</si>
  <si>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</si>
  <si>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</si>
  <si>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</si>
  <si>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</si>
  <si>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</si>
  <si>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</si>
  <si>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</si>
  <si>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</si>
  <si>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</si>
  <si>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</si>
  <si>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</si>
  <si>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</si>
  <si>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</si>
  <si>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</si>
  <si>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</si>
  <si>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</si>
  <si>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</si>
  <si>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</si>
  <si>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</si>
  <si>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</si>
  <si>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</si>
  <si>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</si>
  <si>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</si>
  <si>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</si>
  <si>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</si>
  <si>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</si>
  <si>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</si>
  <si>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</si>
  <si>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</si>
  <si>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</si>
  <si>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</si>
  <si>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</si>
  <si>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</si>
  <si>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</si>
  <si>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</si>
  <si>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</si>
  <si>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</si>
  <si>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</si>
  <si>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</si>
  <si>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</si>
  <si>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</si>
  <si>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</si>
  <si>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</si>
  <si>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</si>
  <si>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</si>
  <si>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</si>
  <si>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</si>
  <si>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</si>
  <si>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</si>
  <si>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</si>
  <si>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</si>
  <si>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</si>
  <si>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</si>
  <si>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</si>
  <si>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</si>
  <si>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</si>
  <si>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</si>
  <si>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</si>
  <si>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</si>
  <si>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</si>
  <si>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</si>
  <si>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</si>
  <si>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</si>
  <si>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</si>
  <si>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</si>
  <si>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</si>
  <si>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</si>
  <si>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</si>
  <si>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</si>
  <si>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</si>
  <si>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</si>
  <si>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</si>
  <si>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</si>
  <si>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</si>
  <si>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</si>
  <si>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</si>
  <si>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</si>
  <si>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</si>
  <si>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</si>
  <si>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</si>
  <si>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</si>
  <si>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</si>
  <si>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</si>
  <si>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</si>
  <si>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</si>
  <si>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</si>
  <si>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</si>
  <si>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</si>
  <si>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</si>
  <si>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</si>
  <si>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</si>
  <si>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</si>
  <si>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</si>
  <si>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</si>
  <si>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</si>
  <si>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</si>
  <si>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</si>
  <si>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</si>
  <si>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</si>
  <si>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</si>
  <si>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</si>
  <si>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</si>
  <si>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</si>
  <si>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</si>
  <si>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</si>
  <si>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</si>
  <si>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</si>
  <si>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</si>
  <si>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</si>
  <si>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</si>
  <si>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</si>
  <si>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</si>
  <si>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</si>
  <si>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</si>
  <si>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</si>
  <si>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</si>
  <si>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</si>
  <si>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</si>
  <si>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</si>
  <si>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</si>
  <si>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</si>
  <si>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</si>
  <si>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</si>
  <si>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</si>
  <si>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</si>
  <si>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</si>
  <si>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</si>
  <si>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</si>
  <si>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</si>
  <si>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</si>
  <si>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</si>
  <si>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</si>
  <si>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</si>
  <si>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</si>
  <si>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</si>
  <si>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</si>
  <si>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</si>
  <si>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</si>
  <si>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</si>
  <si>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</si>
  <si>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</si>
  <si>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</si>
  <si>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</si>
  <si>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</si>
  <si>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</si>
  <si>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</si>
  <si>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</si>
  <si>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</si>
  <si>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</si>
  <si>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</si>
  <si>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</si>
  <si>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</si>
  <si>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</si>
  <si>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</si>
  <si>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</si>
  <si>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</si>
  <si>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</si>
  <si>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</si>
  <si>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</si>
  <si>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</si>
  <si>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</si>
  <si>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</si>
  <si>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</si>
  <si>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</si>
  <si>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</si>
  <si>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</si>
  <si>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</si>
  <si>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</si>
  <si>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</si>
  <si>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</si>
  <si>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</si>
  <si>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</si>
  <si>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</si>
  <si>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</si>
  <si>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</si>
  <si>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</si>
  <si>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</si>
  <si>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</si>
  <si>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</si>
  <si>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</si>
  <si>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</si>
  <si>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</si>
  <si>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</si>
  <si>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</si>
  <si>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</si>
  <si>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</si>
  <si>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</si>
  <si>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</si>
  <si>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</si>
  <si>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</si>
  <si>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</si>
  <si>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</si>
  <si>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</si>
  <si>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</si>
  <si>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</si>
  <si>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</si>
  <si>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</si>
  <si>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</si>
  <si>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</si>
  <si>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</si>
  <si>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</si>
  <si>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</si>
  <si>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</si>
  <si>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</si>
  <si>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</si>
  <si>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</si>
  <si>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</si>
  <si>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</si>
  <si>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</si>
  <si>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</si>
  <si>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</si>
  <si>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</si>
  <si>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</si>
  <si>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</si>
  <si>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</si>
  <si>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</si>
  <si>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</si>
  <si>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</si>
  <si>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</si>
  <si>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</si>
  <si>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</si>
  <si>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</si>
  <si>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</si>
  <si>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</si>
  <si>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</si>
  <si>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</si>
  <si>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</si>
  <si>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</si>
  <si>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</si>
  <si>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</si>
  <si>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</si>
  <si>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</si>
  <si>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</si>
  <si>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</si>
  <si>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</si>
  <si>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</si>
  <si>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</si>
  <si>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</si>
  <si>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</si>
  <si>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</si>
  <si>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</si>
  <si>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</si>
  <si>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</si>
  <si>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</si>
  <si>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</si>
  <si>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</si>
  <si>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</si>
  <si>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</si>
  <si>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</si>
  <si>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</si>
  <si>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</si>
  <si>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</si>
  <si>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</si>
  <si>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</si>
  <si>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</si>
  <si>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</si>
  <si>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</si>
  <si>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</si>
  <si>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</si>
  <si>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</si>
  <si>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</si>
  <si>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</si>
  <si>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</si>
  <si>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</si>
  <si>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</si>
  <si>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</si>
  <si>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</si>
  <si>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</si>
  <si>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</si>
  <si>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</si>
  <si>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</si>
  <si>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</si>
  <si>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</si>
  <si>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</si>
  <si>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</si>
  <si>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</si>
  <si>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</si>
  <si>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</si>
  <si>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</si>
  <si>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</si>
  <si>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</si>
  <si>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</si>
  <si>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</si>
  <si>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</si>
  <si>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</si>
  <si>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</si>
  <si>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</si>
  <si>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</si>
  <si>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</si>
  <si>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</si>
  <si>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</si>
  <si>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</si>
  <si>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</si>
  <si>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</si>
  <si>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</si>
  <si>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</si>
  <si>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</si>
  <si>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</si>
  <si>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</si>
  <si>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</si>
  <si>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</si>
  <si>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</si>
  <si>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</si>
  <si>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</si>
  <si>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</si>
  <si>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</si>
  <si>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</si>
  <si>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</si>
  <si>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</si>
  <si>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</si>
  <si>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</si>
  <si>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</si>
  <si>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</si>
  <si>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</si>
  <si>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</si>
  <si>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</si>
  <si>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</si>
  <si>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</si>
  <si>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</si>
  <si>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</si>
  <si>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</si>
  <si>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</si>
  <si>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</si>
  <si>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</si>
  <si>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</si>
  <si>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</si>
  <si>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</si>
  <si>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</si>
  <si>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</si>
  <si>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</si>
  <si>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</si>
  <si>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</si>
  <si>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</si>
  <si>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</si>
  <si>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</si>
  <si>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</si>
  <si>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</si>
  <si>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</si>
  <si>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</si>
  <si>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</si>
  <si>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</si>
  <si>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</si>
  <si>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</si>
  <si>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</si>
  <si>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</si>
  <si>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</si>
  <si>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</si>
  <si>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</si>
  <si>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</si>
  <si>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</si>
  <si>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</si>
  <si>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</si>
  <si>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</si>
  <si>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</si>
  <si>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</si>
  <si>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</si>
  <si>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</si>
  <si>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</si>
  <si>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</si>
  <si>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</si>
  <si>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</si>
  <si>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</si>
  <si>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</si>
  <si>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</si>
  <si>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</si>
  <si>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</si>
  <si>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</si>
  <si>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</si>
  <si>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</si>
  <si>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</si>
  <si>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</si>
  <si>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</si>
  <si>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</si>
  <si>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</si>
  <si>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</si>
  <si>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</si>
  <si>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</si>
  <si>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</si>
  <si>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</si>
  <si>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</si>
  <si>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</si>
  <si>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</si>
  <si>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</si>
  <si>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</si>
  <si>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</si>
  <si>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</si>
  <si>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</si>
  <si>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</si>
  <si>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</si>
  <si>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</si>
  <si>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</si>
  <si>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</si>
  <si>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</si>
  <si>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</si>
  <si>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</si>
  <si>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</si>
  <si>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</si>
  <si>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</si>
  <si>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</si>
  <si>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</si>
  <si>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</si>
  <si>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</si>
  <si>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</si>
  <si>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</si>
  <si>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</si>
  <si>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</si>
  <si>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</si>
  <si>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</si>
  <si>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</si>
  <si>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</si>
  <si>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</si>
  <si>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</si>
  <si>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</si>
  <si>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</si>
  <si>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</si>
  <si>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</si>
  <si>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</si>
  <si>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</si>
  <si>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</si>
  <si>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</si>
  <si>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</si>
  <si>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</si>
  <si>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</si>
  <si>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</si>
  <si>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</si>
  <si>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</si>
  <si>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</si>
  <si>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</si>
  <si>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</si>
  <si>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</si>
  <si>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</si>
  <si>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</si>
  <si>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</si>
  <si>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</si>
  <si>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</si>
  <si>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</si>
  <si>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</si>
  <si>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</si>
  <si>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</si>
  <si>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</si>
  <si>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</si>
  <si>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</si>
  <si>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</si>
  <si>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</si>
  <si>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</si>
  <si>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</si>
  <si>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</si>
  <si>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</si>
  <si>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</si>
  <si>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</si>
  <si>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</si>
  <si>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</si>
  <si>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</si>
  <si>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</si>
  <si>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</si>
  <si>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</si>
  <si>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</si>
  <si>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</si>
  <si>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</si>
  <si>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</si>
  <si>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</si>
  <si>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</si>
  <si>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</si>
  <si>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</si>
  <si>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</si>
  <si>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</si>
  <si>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</si>
  <si>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</si>
  <si>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</si>
  <si>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</si>
  <si>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</si>
  <si>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</si>
  <si>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</si>
  <si>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</si>
  <si>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</si>
  <si>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</si>
  <si>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</si>
  <si>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</si>
  <si>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</si>
  <si>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</si>
  <si>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</si>
  <si>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</si>
  <si>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</si>
  <si>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</si>
  <si>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</si>
  <si>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</si>
  <si>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</si>
  <si>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</si>
  <si>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</si>
  <si>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</si>
  <si>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</si>
  <si>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</si>
  <si>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</si>
  <si>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</si>
  <si>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</si>
  <si>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</si>
  <si>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</si>
  <si>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</si>
  <si>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</si>
  <si>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</si>
  <si>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</si>
  <si>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</si>
  <si>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</si>
  <si>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</si>
  <si>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</si>
  <si>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</si>
  <si>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</si>
  <si>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</si>
  <si>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</si>
  <si>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</si>
  <si>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</si>
  <si>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</si>
  <si>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</si>
  <si>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</si>
  <si>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</si>
  <si>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</si>
  <si>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</si>
  <si>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</si>
  <si>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</si>
  <si>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</si>
  <si>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</si>
  <si>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</si>
  <si>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</si>
  <si>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</si>
  <si>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</si>
  <si>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</si>
  <si>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</si>
  <si>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</si>
  <si>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</si>
  <si>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</si>
  <si>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</si>
  <si>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</si>
  <si>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</si>
  <si>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</si>
  <si>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</si>
  <si>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</si>
  <si>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</si>
  <si>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</si>
  <si>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</si>
  <si>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</si>
  <si>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</si>
  <si>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</si>
  <si>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</si>
  <si>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</si>
  <si>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</si>
  <si>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</si>
  <si>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</si>
  <si>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</si>
  <si>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</si>
  <si>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</si>
  <si>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</si>
  <si>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</si>
  <si>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</si>
  <si>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</si>
  <si>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</si>
  <si>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</si>
  <si>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</si>
  <si>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</si>
  <si>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</si>
  <si>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</si>
  <si>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</si>
  <si>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</si>
  <si>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</si>
  <si>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</si>
  <si>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</si>
  <si>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</si>
  <si>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</si>
  <si>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</si>
  <si>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</si>
  <si>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</si>
  <si>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</si>
  <si>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</si>
  <si>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</si>
  <si>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</si>
  <si>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</si>
  <si>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</si>
  <si>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</si>
  <si>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</si>
  <si>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</si>
  <si>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</si>
  <si>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</si>
  <si>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</si>
  <si>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</si>
  <si>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</si>
  <si>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</si>
  <si>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</si>
  <si>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</si>
  <si>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</si>
  <si>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</si>
  <si>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</si>
  <si>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</si>
  <si>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</si>
  <si>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</si>
  <si>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</si>
  <si>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</si>
  <si>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</si>
  <si>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</si>
  <si>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</si>
  <si>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</si>
  <si>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</si>
  <si>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</si>
  <si>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</si>
  <si>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</si>
  <si>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</si>
  <si>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</si>
  <si>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</si>
  <si>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</si>
  <si>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</si>
  <si>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</si>
  <si>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</si>
  <si>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</si>
  <si>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</si>
  <si>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</si>
  <si>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</si>
  <si>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</si>
  <si>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</si>
  <si>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</si>
  <si>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</si>
  <si>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</si>
  <si>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</si>
  <si>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</si>
  <si>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</si>
  <si>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</si>
  <si>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</si>
  <si>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</si>
  <si>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</si>
  <si>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</si>
  <si>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</si>
  <si>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</si>
  <si>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</si>
  <si>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</si>
  <si>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</si>
  <si>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</si>
  <si>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</si>
  <si>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</si>
  <si>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</si>
  <si>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</si>
  <si>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</si>
  <si>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</si>
  <si>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</si>
  <si>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</si>
  <si>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</si>
  <si>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</si>
  <si>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</si>
  <si>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</si>
  <si>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</si>
  <si>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</si>
  <si>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</si>
  <si>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</si>
  <si>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</si>
  <si>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</si>
  <si>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</si>
  <si>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</si>
  <si>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</si>
  <si>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</si>
  <si>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</si>
  <si>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</si>
  <si>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</si>
  <si>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</si>
  <si>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</si>
  <si>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</si>
  <si>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</si>
  <si>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</si>
  <si>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</si>
  <si>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</si>
  <si>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</si>
  <si>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</si>
  <si>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</si>
  <si>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</si>
  <si>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</si>
  <si>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</si>
  <si>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</si>
  <si>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</si>
  <si>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</si>
  <si>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</si>
  <si>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</si>
  <si>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</si>
  <si>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</si>
  <si>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</si>
  <si>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</si>
  <si>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</si>
  <si>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</si>
  <si>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</si>
  <si>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</si>
  <si>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</si>
  <si>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</si>
  <si>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</si>
  <si>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</si>
  <si>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</si>
  <si>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</si>
  <si>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</si>
  <si>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</si>
  <si>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</si>
  <si>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</si>
  <si>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</si>
  <si>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</si>
  <si>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</si>
  <si>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</si>
  <si>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</si>
  <si>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</si>
  <si>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</si>
  <si>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</si>
  <si>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</si>
  <si>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</si>
  <si>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</si>
  <si>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</si>
  <si>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</si>
  <si>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</si>
  <si>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</si>
  <si>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</si>
  <si>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</si>
  <si>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</si>
  <si>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</si>
  <si>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</si>
  <si>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</si>
  <si>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</si>
  <si>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</si>
  <si>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</si>
  <si>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</si>
  <si>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</si>
  <si>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</si>
  <si>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</si>
  <si>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</si>
  <si>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</si>
  <si>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</si>
  <si>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</si>
  <si>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</si>
  <si>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</si>
  <si>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</si>
  <si>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</si>
  <si>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</si>
  <si>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</si>
  <si>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</si>
  <si>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</si>
  <si>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</si>
  <si>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</si>
  <si>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</si>
  <si>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</si>
  <si>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</si>
  <si>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</si>
  <si>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</si>
  <si>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</si>
  <si>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</si>
  <si>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</si>
  <si>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</si>
  <si>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</si>
  <si>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</si>
  <si>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</si>
  <si>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</si>
  <si>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</si>
  <si>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</si>
  <si>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</si>
  <si>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</si>
  <si>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</si>
  <si>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</si>
  <si>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</si>
  <si>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</si>
  <si>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</si>
  <si>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</si>
  <si>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</si>
  <si>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</si>
  <si>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</si>
  <si>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</si>
  <si>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</si>
  <si>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</si>
  <si>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</si>
  <si>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</si>
  <si>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</si>
  <si>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</si>
  <si>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</si>
  <si>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</si>
  <si>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</si>
  <si>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</si>
  <si>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</si>
  <si>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</si>
  <si>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</si>
  <si>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</si>
  <si>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</si>
  <si>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</si>
  <si>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</si>
  <si>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</si>
  <si>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</si>
  <si>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</si>
  <si>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</si>
  <si>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</si>
  <si>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</si>
  <si>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</si>
  <si>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</si>
  <si>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</si>
  <si>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</si>
  <si>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</si>
  <si>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</si>
  <si>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</si>
  <si>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</si>
  <si>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</si>
  <si>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</si>
  <si>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</si>
  <si>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</si>
  <si>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</si>
  <si>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</si>
  <si>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</si>
  <si>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</si>
  <si>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</si>
  <si>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</si>
  <si>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</si>
  <si>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</si>
  <si>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</si>
  <si>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</si>
  <si>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</si>
  <si>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</si>
  <si>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</si>
  <si>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</si>
  <si>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</si>
  <si>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</si>
  <si>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</si>
  <si>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</si>
  <si>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</si>
  <si>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</si>
  <si>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</si>
  <si>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</si>
  <si>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</si>
  <si>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</si>
  <si>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</si>
  <si>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</si>
  <si>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</si>
  <si>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</si>
  <si>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</si>
  <si>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</si>
  <si>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</si>
  <si>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</si>
  <si>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</si>
  <si>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</si>
  <si>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</si>
  <si>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</si>
  <si>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</si>
  <si>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</si>
  <si>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</si>
  <si>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</si>
  <si>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</si>
  <si>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</si>
  <si>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</si>
  <si>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</si>
  <si>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</si>
  <si>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</si>
  <si>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</si>
  <si>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</si>
  <si>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</si>
  <si>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</si>
  <si>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</si>
  <si>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</si>
  <si>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</si>
  <si>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</si>
  <si>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</si>
  <si>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</si>
  <si>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</si>
  <si>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</si>
  <si>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</si>
  <si>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</si>
  <si>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</si>
  <si>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</si>
  <si>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</si>
  <si>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</si>
  <si>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</si>
  <si>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</si>
  <si>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</si>
  <si>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</si>
  <si>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</si>
  <si>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</si>
  <si>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</si>
  <si>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</si>
  <si>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</si>
  <si>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</si>
  <si>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</si>
  <si>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</si>
  <si>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</si>
  <si>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</si>
  <si>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</si>
  <si>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</si>
  <si>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</si>
  <si>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</si>
  <si>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</si>
  <si>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</si>
  <si>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</si>
  <si>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</si>
  <si>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</si>
  <si>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</si>
  <si>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</si>
  <si>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</si>
  <si>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</si>
  <si>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</si>
  <si>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</si>
  <si>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</si>
  <si>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</si>
  <si>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</si>
  <si>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</si>
  <si>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</si>
  <si>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</si>
  <si>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</si>
  <si>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</si>
  <si>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</si>
  <si>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</si>
  <si>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</si>
  <si>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</si>
  <si>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</si>
  <si>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</si>
  <si>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</si>
  <si>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</si>
  <si>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</si>
  <si>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</si>
  <si>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</si>
  <si>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</si>
  <si>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</si>
  <si>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</si>
  <si>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</si>
  <si>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</si>
  <si>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</si>
  <si>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</si>
  <si>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</si>
  <si>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</si>
  <si>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</si>
  <si>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</si>
  <si>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</si>
  <si>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</si>
  <si>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</si>
  <si>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</si>
  <si>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</si>
  <si>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</si>
  <si>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</si>
  <si>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</si>
  <si>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</si>
  <si>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</si>
  <si>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</si>
  <si>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</si>
  <si>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</si>
  <si>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</si>
  <si>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</si>
  <si>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</si>
  <si>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</si>
  <si>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</si>
  <si>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</si>
  <si>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</si>
  <si>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</si>
  <si>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</si>
  <si>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</si>
  <si>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</si>
  <si>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</si>
  <si>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</si>
  <si>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</si>
  <si>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</si>
  <si>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</si>
  <si>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</si>
  <si>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</si>
  <si>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</si>
  <si>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</si>
  <si>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</si>
  <si>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</si>
  <si>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</si>
  <si>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</si>
  <si>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</si>
  <si>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</si>
  <si>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</si>
  <si>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</si>
  <si>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</si>
  <si>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</si>
  <si>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</si>
  <si>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</si>
  <si>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</si>
  <si>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</si>
  <si>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</si>
  <si>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</si>
  <si>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</si>
  <si>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</si>
  <si>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</si>
  <si>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</si>
  <si>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</si>
  <si>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</si>
  <si>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</si>
  <si>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</si>
  <si>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</si>
  <si>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</si>
  <si>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</si>
  <si>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</si>
  <si>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</si>
  <si>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</si>
  <si>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</si>
  <si>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</si>
  <si>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</si>
  <si>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</si>
  <si>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</si>
  <si>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</si>
  <si>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</si>
  <si>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</si>
  <si>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</si>
  <si>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</si>
  <si>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</si>
  <si>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</si>
  <si>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</si>
  <si>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</si>
  <si>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</si>
  <si>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</si>
  <si>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</si>
  <si>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</si>
  <si>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</si>
  <si>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</si>
  <si>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</si>
  <si>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</si>
  <si>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</si>
  <si>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</si>
  <si>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</si>
  <si>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</si>
  <si>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</si>
  <si>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</si>
  <si>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</si>
  <si>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</si>
  <si>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</si>
  <si>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</si>
  <si>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</si>
  <si>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</si>
  <si>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</si>
  <si>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</si>
  <si>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</si>
  <si>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</si>
  <si>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</si>
  <si>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</si>
  <si>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</si>
  <si>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</si>
  <si>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</si>
  <si>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</si>
  <si>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</si>
  <si>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</si>
  <si>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</si>
  <si>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</si>
  <si>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</si>
  <si>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</si>
  <si>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</si>
  <si>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</si>
  <si>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</si>
  <si>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</si>
  <si>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</si>
  <si>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</si>
  <si>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</si>
  <si>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</si>
  <si>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</si>
  <si>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</si>
  <si>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</si>
  <si>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</si>
  <si>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</si>
  <si>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</si>
  <si>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</si>
  <si>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</si>
  <si>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</si>
  <si>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</si>
  <si>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</si>
  <si>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</si>
  <si>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</si>
  <si>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</si>
  <si>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</si>
  <si>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</si>
  <si>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</si>
  <si>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</si>
  <si>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</si>
  <si>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</si>
  <si>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</si>
  <si>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</si>
  <si>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</si>
  <si>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</si>
  <si>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</si>
  <si>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</si>
  <si>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</si>
  <si>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</si>
  <si>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</si>
  <si>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</si>
  <si>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</si>
  <si>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</si>
  <si>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</si>
  <si>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</si>
  <si>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</si>
  <si>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</si>
  <si>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</si>
  <si>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</si>
  <si>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</si>
  <si>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</si>
  <si>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</si>
  <si>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</si>
  <si>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</si>
  <si>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</si>
  <si>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</si>
  <si>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</si>
  <si>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</si>
  <si>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</si>
  <si>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</si>
  <si>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</si>
  <si>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</si>
  <si>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</si>
  <si>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</si>
  <si>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</si>
  <si>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</si>
  <si>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</si>
  <si>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</si>
  <si>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</si>
  <si>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</si>
  <si>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</si>
  <si>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</si>
  <si>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</si>
  <si>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</si>
  <si>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</si>
  <si>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</si>
  <si>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</si>
  <si>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</si>
  <si>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</si>
  <si>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</si>
  <si>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</si>
  <si>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</si>
  <si>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</si>
  <si>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</si>
  <si>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</si>
  <si>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</si>
  <si>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</si>
  <si>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</si>
  <si>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</si>
  <si>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</si>
  <si>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</si>
  <si>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</si>
  <si>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</si>
  <si>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</si>
  <si>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</si>
  <si>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</si>
  <si>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</si>
  <si>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</si>
  <si>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</si>
  <si>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</si>
  <si>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</si>
  <si>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</si>
  <si>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</si>
  <si>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</si>
  <si>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</si>
  <si>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</si>
  <si>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</si>
  <si>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</si>
  <si>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</si>
  <si>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</si>
  <si>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</si>
  <si>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</si>
  <si>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</si>
  <si>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</si>
  <si>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</si>
  <si>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</si>
  <si>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</si>
  <si>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</si>
  <si>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</si>
  <si>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</si>
  <si>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</si>
  <si>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</si>
  <si>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</si>
  <si>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</si>
  <si>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</si>
  <si>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</si>
  <si>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</si>
  <si>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</si>
  <si>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</si>
  <si>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</si>
  <si>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</si>
  <si>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</si>
  <si>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</si>
  <si>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</si>
  <si>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</si>
  <si>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</si>
  <si>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</si>
  <si>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</si>
  <si>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</si>
  <si>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</si>
  <si>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</si>
  <si>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</si>
  <si>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</si>
  <si>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</si>
  <si>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</si>
  <si>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</si>
  <si>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</si>
  <si>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</si>
  <si>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</si>
  <si>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</si>
  <si>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</si>
  <si>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</si>
  <si>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</si>
  <si>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</si>
  <si>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</si>
  <si>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</si>
  <si>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</si>
  <si>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</si>
  <si>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</si>
  <si>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</si>
  <si>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</si>
  <si>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</si>
  <si>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</si>
  <si>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</si>
  <si>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</si>
  <si>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</si>
  <si>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</si>
  <si>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</si>
  <si>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</si>
  <si>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</si>
  <si>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</si>
  <si>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</si>
  <si>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</si>
  <si>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</si>
  <si>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</si>
  <si>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</si>
  <si>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</si>
  <si>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</si>
  <si>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</si>
  <si>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</si>
  <si>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</si>
  <si>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</si>
  <si>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</si>
  <si>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</si>
  <si>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</si>
  <si>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</si>
  <si>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</si>
  <si>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</si>
  <si>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</si>
  <si>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</si>
  <si>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</si>
  <si>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</si>
  <si>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</si>
  <si>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</si>
  <si>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</si>
  <si>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</si>
  <si>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</si>
  <si>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</si>
  <si>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</si>
  <si>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</si>
  <si>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</si>
  <si>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</si>
  <si>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</si>
  <si>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</si>
  <si>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</si>
  <si>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</si>
  <si>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</si>
  <si>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</si>
  <si>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</si>
  <si>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</si>
  <si>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</si>
  <si>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</si>
  <si>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</si>
  <si>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</si>
  <si>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</si>
  <si>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</si>
  <si>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</si>
  <si>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</si>
  <si>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</si>
  <si>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</si>
  <si>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</si>
  <si>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</si>
  <si>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</si>
  <si>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</si>
  <si>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</si>
  <si>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</si>
  <si>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</si>
  <si>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</si>
  <si>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</si>
  <si>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</si>
  <si>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</si>
  <si>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</si>
  <si>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</si>
  <si>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</si>
  <si>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</si>
  <si>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</si>
  <si>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</si>
  <si>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</si>
  <si>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</si>
  <si>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</si>
  <si>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</si>
  <si>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</si>
  <si>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</si>
  <si>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</si>
  <si>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</si>
  <si>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</si>
  <si>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</si>
  <si>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</si>
  <si>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</si>
  <si>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</si>
  <si>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</si>
  <si>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</si>
  <si>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</si>
  <si>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</si>
  <si>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</si>
  <si>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</si>
  <si>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</si>
  <si>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</si>
  <si>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</si>
  <si>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</si>
  <si>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</si>
  <si>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</si>
  <si>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</si>
  <si>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</si>
  <si>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</si>
  <si>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</si>
  <si>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</si>
  <si>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</si>
  <si>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</si>
  <si>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</si>
  <si>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</si>
  <si>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</si>
  <si>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</si>
  <si>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</si>
  <si>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</si>
  <si>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</si>
  <si>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</si>
  <si>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</si>
  <si>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</si>
  <si>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</si>
  <si>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</si>
  <si>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</si>
  <si>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</si>
  <si>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</si>
  <si>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</si>
  <si>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</si>
  <si>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</si>
  <si>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</si>
  <si>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</si>
  <si>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</si>
  <si>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</si>
  <si>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</si>
  <si>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</si>
  <si>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</si>
  <si>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</si>
  <si>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</si>
  <si>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</si>
  <si>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</si>
  <si>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</si>
  <si>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</si>
  <si>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</si>
  <si>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</si>
  <si>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</si>
  <si>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</si>
  <si>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</si>
  <si>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</si>
  <si>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</si>
  <si>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</si>
  <si>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</si>
  <si>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</si>
  <si>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</si>
  <si>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</si>
  <si>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</si>
  <si>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</si>
  <si>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</si>
  <si>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</si>
  <si>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</si>
  <si>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</si>
  <si>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</si>
  <si>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</si>
  <si>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</si>
  <si>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</si>
  <si>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</si>
  <si>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</si>
  <si>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</si>
  <si>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</si>
  <si>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</si>
  <si>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</si>
  <si>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</si>
  <si>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</si>
  <si>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</si>
  <si>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</si>
  <si>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</si>
  <si>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</si>
  <si>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</si>
  <si>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</si>
  <si>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</si>
  <si>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</si>
  <si>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</si>
  <si>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</si>
  <si>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</si>
  <si>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</si>
  <si>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</si>
  <si>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</si>
  <si>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</si>
  <si>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</si>
  <si>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</si>
  <si>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</si>
  <si>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</si>
  <si>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</si>
  <si>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</si>
  <si>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</si>
  <si>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</si>
  <si>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</si>
  <si>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</si>
  <si>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</si>
  <si>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</si>
  <si>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</si>
  <si>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</si>
  <si>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</si>
  <si>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</si>
  <si>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</si>
  <si>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</si>
  <si>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</si>
  <si>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</si>
  <si>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</si>
  <si>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</si>
  <si>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</si>
  <si>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</si>
  <si>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</si>
  <si>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</si>
  <si>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</si>
  <si>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</si>
  <si>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</si>
  <si>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</si>
  <si>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</si>
  <si>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</si>
  <si>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</si>
  <si>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</si>
  <si>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</si>
  <si>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</si>
  <si>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</si>
  <si>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</si>
  <si>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</si>
  <si>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</si>
  <si>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</si>
  <si>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</si>
  <si>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</si>
  <si>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</si>
  <si>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</si>
  <si>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</si>
  <si>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</si>
  <si>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</si>
  <si>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</si>
  <si>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</si>
  <si>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</si>
  <si>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</si>
  <si>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</si>
  <si>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</si>
  <si>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</si>
  <si>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</si>
  <si>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</si>
  <si>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</si>
  <si>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</si>
  <si>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</si>
  <si>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</si>
  <si>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</si>
  <si>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</si>
  <si>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</si>
  <si>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</si>
  <si>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</si>
  <si>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</si>
  <si>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</si>
  <si>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</si>
  <si>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</si>
  <si>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</si>
  <si>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</si>
  <si>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</si>
  <si>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</si>
  <si>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</si>
  <si>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</si>
  <si>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</si>
  <si>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</si>
  <si>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</si>
  <si>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</si>
  <si>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</si>
  <si>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</si>
  <si>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</si>
  <si>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</si>
  <si>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</si>
  <si>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</si>
  <si>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</si>
  <si>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</si>
  <si>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</si>
  <si>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</si>
  <si>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</si>
  <si>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</si>
  <si>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</si>
  <si>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</si>
  <si>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</si>
  <si>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</si>
  <si>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</si>
  <si>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</si>
  <si>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</si>
  <si>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</si>
  <si>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</si>
  <si>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</si>
  <si>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</si>
  <si>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</si>
  <si>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</si>
  <si>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</si>
  <si>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</si>
  <si>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</si>
  <si>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</si>
  <si>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</si>
  <si>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</si>
  <si>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</si>
  <si>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</si>
  <si>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</si>
  <si>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</si>
  <si>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</si>
  <si>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</si>
  <si>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</si>
  <si>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</si>
  <si>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</si>
  <si>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</si>
  <si>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</si>
  <si>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</si>
  <si>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</si>
  <si>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</si>
  <si>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</si>
  <si>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</si>
  <si>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</si>
  <si>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</si>
  <si>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</si>
  <si>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</si>
  <si>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</si>
  <si>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</si>
  <si>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</si>
  <si>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</si>
  <si>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</si>
  <si>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</si>
  <si>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</si>
  <si>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</si>
  <si>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</si>
  <si>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</si>
  <si>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</si>
  <si>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</si>
  <si>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</si>
  <si>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</si>
  <si>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</si>
  <si>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</si>
  <si>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</si>
  <si>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</si>
  <si>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</si>
  <si>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</si>
  <si>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</si>
  <si>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</si>
  <si>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</si>
  <si>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</si>
  <si>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</si>
  <si>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</si>
  <si>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</si>
  <si>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</si>
  <si>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</si>
  <si>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</si>
  <si>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</si>
  <si>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</si>
  <si>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</si>
  <si>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</si>
  <si>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</si>
  <si>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</si>
  <si>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</si>
  <si>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</si>
  <si>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</si>
  <si>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</si>
  <si>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</si>
  <si>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</si>
  <si>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</si>
  <si>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</si>
  <si>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</si>
  <si>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</si>
  <si>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</si>
  <si>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</si>
  <si>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</si>
  <si>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</si>
  <si>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</si>
  <si>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</si>
  <si>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</si>
  <si>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</si>
  <si>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</si>
  <si>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</si>
  <si>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</si>
  <si>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</si>
  <si>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</si>
  <si>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</si>
  <si>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</si>
  <si>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</si>
  <si>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</si>
  <si>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</si>
  <si>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</si>
  <si>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</si>
  <si>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</si>
  <si>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</si>
  <si>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</si>
  <si>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</si>
  <si>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</si>
  <si>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</si>
  <si>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</si>
  <si>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</si>
  <si>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</si>
  <si>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</si>
  <si>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</si>
  <si>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</si>
  <si>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</si>
  <si>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</si>
  <si>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</si>
  <si>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</si>
  <si>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</si>
  <si>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</si>
  <si>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</si>
  <si>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</si>
  <si>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</si>
  <si>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</si>
  <si>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</si>
  <si>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</si>
  <si>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</si>
  <si>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</si>
  <si>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</si>
  <si>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</si>
  <si>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</si>
  <si>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</si>
  <si>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</si>
  <si>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</si>
  <si>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</si>
  <si>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</si>
  <si>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</si>
  <si>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</si>
  <si>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</si>
  <si>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</si>
  <si>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</si>
  <si>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</si>
  <si>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</si>
  <si>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</si>
  <si>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</si>
  <si>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</si>
  <si>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</si>
  <si>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</si>
  <si>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</si>
  <si>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</si>
  <si>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</si>
  <si>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</si>
  <si>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</si>
  <si>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</si>
  <si>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</si>
  <si>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</si>
  <si>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</si>
  <si>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</si>
  <si>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</si>
  <si>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</si>
  <si>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</si>
  <si>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</si>
  <si>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</si>
  <si>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</si>
  <si>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</si>
  <si>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</si>
  <si>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</si>
  <si>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</si>
  <si>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</si>
  <si>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</si>
  <si>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</si>
  <si>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</si>
  <si>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</si>
  <si>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</si>
  <si>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</si>
  <si>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</si>
  <si>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</si>
  <si>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</si>
  <si>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</si>
  <si>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</si>
  <si>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</si>
  <si>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</si>
  <si>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</si>
  <si>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</si>
  <si>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</si>
  <si>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</si>
  <si>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</si>
  <si>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</si>
  <si>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</si>
  <si>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</si>
  <si>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</si>
  <si>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</si>
  <si>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</si>
  <si>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</si>
  <si>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</si>
  <si>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</si>
  <si>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</si>
  <si>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</si>
  <si>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</si>
  <si>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</si>
  <si>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</si>
  <si>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</si>
  <si>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</si>
  <si>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</si>
  <si>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</si>
  <si>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</si>
  <si>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</si>
  <si>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</si>
  <si>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</si>
  <si>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</si>
  <si>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</si>
  <si>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</si>
  <si>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</si>
  <si>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</si>
  <si>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</si>
  <si>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</si>
  <si>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</si>
  <si>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</si>
  <si>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</si>
  <si>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</si>
  <si>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</si>
  <si>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</si>
  <si>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</si>
  <si>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</si>
  <si>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</si>
  <si>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</si>
  <si>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</si>
  <si>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</si>
  <si>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</si>
  <si>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</si>
  <si>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</si>
  <si>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</si>
  <si>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</si>
  <si>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</si>
  <si>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</si>
  <si>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</si>
  <si>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</si>
  <si>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</si>
  <si>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</si>
  <si>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</si>
  <si>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</si>
  <si>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</si>
  <si>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</si>
  <si>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</si>
  <si>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</si>
  <si>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</si>
  <si>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</si>
  <si>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</si>
  <si>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</si>
  <si>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</si>
  <si>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</si>
  <si>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</si>
  <si>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</si>
  <si>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</si>
  <si>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</si>
  <si>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</si>
  <si>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</si>
  <si>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</si>
  <si>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</si>
  <si>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</si>
  <si>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</si>
  <si>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</si>
  <si>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</si>
  <si>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</si>
  <si>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</si>
  <si>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</si>
  <si>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</si>
  <si>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</si>
  <si>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</si>
  <si>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</si>
  <si>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</si>
  <si>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</si>
  <si>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</si>
  <si>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</si>
  <si>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</si>
  <si>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</si>
  <si>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</si>
  <si>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</si>
  <si>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</si>
  <si>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</si>
  <si>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</si>
  <si>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</si>
  <si>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</si>
  <si>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</si>
  <si>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</si>
  <si>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</si>
  <si>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</si>
  <si>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</si>
  <si>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</si>
  <si>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</si>
  <si>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</si>
  <si>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</si>
  <si>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</si>
  <si>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</si>
  <si>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</si>
  <si>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</si>
  <si>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</si>
  <si>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</si>
  <si>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</si>
  <si>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</si>
  <si>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</si>
  <si>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</si>
  <si>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</si>
  <si>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</si>
  <si>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</si>
  <si>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</si>
  <si>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</si>
  <si>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</si>
  <si>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</si>
  <si>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</si>
  <si>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</si>
  <si>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</si>
  <si>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</si>
  <si>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</si>
  <si>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</si>
  <si>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</si>
  <si>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</si>
  <si>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</si>
  <si>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</si>
  <si>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</si>
  <si>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</si>
  <si>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</si>
  <si>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</si>
  <si>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</si>
  <si>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</si>
  <si>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</si>
  <si>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</si>
  <si>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</si>
  <si>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</si>
  <si>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</si>
  <si>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</si>
  <si>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</si>
  <si>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</si>
  <si>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</si>
  <si>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</si>
  <si>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</si>
  <si>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</si>
  <si>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</si>
  <si>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</si>
  <si>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</si>
  <si>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</si>
  <si>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</si>
  <si>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</si>
  <si>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</si>
  <si>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</si>
  <si>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</si>
  <si>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</si>
  <si>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</si>
  <si>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</si>
  <si>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</si>
  <si>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</si>
  <si>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</si>
  <si>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</si>
  <si>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</si>
  <si>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</si>
  <si>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</si>
  <si>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</si>
  <si>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</si>
  <si>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</si>
  <si>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</si>
  <si>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</si>
  <si>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</si>
  <si>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</si>
  <si>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</si>
  <si>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</si>
  <si>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</si>
  <si>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</si>
  <si>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</si>
  <si>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</si>
  <si>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</si>
  <si>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</si>
  <si>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</si>
  <si>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</si>
  <si>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</si>
  <si>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</si>
  <si>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</si>
  <si>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</si>
  <si>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</si>
  <si>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</si>
  <si>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</si>
  <si>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</si>
  <si>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</si>
  <si>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</si>
  <si>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</si>
  <si>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</si>
  <si>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</si>
  <si>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</si>
  <si>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</si>
  <si>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</si>
  <si>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</si>
  <si>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</si>
  <si>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</si>
  <si>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</si>
  <si>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</si>
  <si>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</si>
  <si>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</si>
  <si>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</si>
  <si>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</si>
  <si>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</si>
  <si>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</si>
  <si>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</si>
  <si>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</si>
  <si>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</si>
  <si>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</si>
  <si>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</si>
  <si>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</si>
  <si>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</si>
  <si>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</si>
  <si>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</si>
  <si>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</si>
  <si>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</si>
  <si>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</si>
  <si>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</si>
  <si>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</si>
  <si>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</si>
  <si>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</si>
  <si>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</si>
  <si>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</si>
  <si>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</si>
  <si>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</si>
  <si>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</si>
  <si>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</si>
  <si>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</si>
  <si>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</si>
  <si>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</si>
  <si>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</si>
  <si>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</si>
  <si>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</si>
  <si>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</si>
  <si>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</si>
  <si>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</si>
  <si>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</si>
  <si>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</si>
  <si>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</si>
  <si>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</si>
  <si>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</si>
  <si>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</si>
  <si>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</si>
  <si>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</si>
  <si>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</si>
  <si>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</si>
  <si>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</si>
  <si>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</si>
  <si>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</si>
  <si>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</si>
  <si>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</si>
  <si>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</si>
  <si>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</si>
  <si>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</si>
  <si>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</si>
  <si>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</si>
  <si>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</si>
  <si>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</si>
  <si>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</si>
  <si>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</si>
  <si>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</si>
  <si>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</si>
  <si>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</si>
  <si>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</si>
  <si>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</si>
  <si>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</si>
  <si>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</si>
  <si>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</si>
  <si>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</si>
  <si>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</si>
  <si>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</si>
  <si>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</si>
  <si>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</si>
  <si>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</si>
  <si>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</si>
  <si>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</si>
  <si>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</si>
  <si>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</si>
  <si>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</si>
  <si>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</si>
  <si>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</si>
  <si>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</si>
  <si>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</si>
  <si>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</si>
  <si>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</si>
  <si>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</si>
  <si>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</si>
  <si>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</si>
  <si>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</si>
  <si>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</si>
  <si>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</si>
  <si>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</si>
  <si>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</si>
  <si>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</si>
  <si>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</si>
  <si>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</si>
  <si>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</si>
  <si>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</si>
  <si>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</si>
  <si>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</si>
  <si>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</si>
  <si>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</si>
  <si>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</si>
  <si>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</si>
  <si>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</si>
  <si>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</si>
  <si>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</si>
  <si>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</si>
  <si>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</si>
  <si>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</si>
  <si>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</si>
  <si>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</si>
  <si>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</si>
  <si>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</si>
  <si>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</si>
  <si>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</si>
  <si>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</si>
  <si>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</si>
  <si>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</si>
  <si>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</si>
  <si>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</si>
  <si>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</si>
  <si>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</si>
  <si>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</si>
  <si>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</si>
  <si>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</si>
  <si>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</si>
  <si>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</si>
  <si>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</si>
  <si>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</si>
  <si>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</si>
  <si>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</si>
  <si>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</si>
  <si>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</si>
  <si>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</si>
  <si>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</si>
  <si>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</si>
  <si>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</si>
  <si>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</si>
  <si>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</si>
  <si>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</si>
  <si>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</si>
  <si>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</si>
  <si>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</si>
  <si>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</si>
  <si>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</si>
  <si>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</si>
  <si>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</si>
  <si>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</si>
  <si>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</si>
  <si>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</si>
  <si>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</si>
  <si>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</si>
  <si>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</si>
  <si>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</si>
  <si>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</si>
  <si>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</si>
  <si>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</si>
  <si>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</si>
  <si>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</si>
  <si>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</si>
  <si>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</si>
  <si>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</si>
  <si>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</si>
  <si>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</si>
  <si>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</si>
  <si>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</si>
  <si>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</si>
  <si>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</si>
  <si>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</si>
  <si>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</si>
  <si>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</si>
  <si>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</si>
  <si>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</si>
  <si>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</si>
  <si>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</si>
  <si>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</si>
  <si>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</si>
  <si>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</si>
  <si>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</si>
  <si>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</si>
  <si>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</si>
  <si>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</si>
  <si>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</si>
  <si>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</si>
  <si>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</si>
  <si>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</si>
  <si>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</si>
  <si>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</si>
  <si>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</si>
  <si>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</si>
  <si>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</si>
  <si>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</si>
  <si>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</si>
  <si>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</si>
  <si>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</si>
  <si>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</si>
  <si>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</si>
  <si>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</si>
  <si>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</si>
  <si>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</si>
  <si>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</si>
  <si>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</si>
  <si>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</si>
  <si>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</si>
  <si>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</si>
  <si>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</si>
  <si>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</si>
  <si>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</si>
  <si>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</si>
  <si>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</si>
  <si>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</si>
  <si>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</si>
  <si>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</si>
  <si>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</si>
  <si>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</si>
  <si>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</si>
  <si>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</si>
  <si>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</si>
  <si>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</si>
  <si>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</si>
  <si>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</si>
  <si>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</si>
  <si>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</si>
  <si>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</si>
  <si>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</si>
  <si>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</si>
  <si>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</si>
  <si>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</si>
  <si>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</si>
  <si>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</si>
  <si>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</si>
  <si>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</si>
  <si>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</si>
  <si>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</si>
  <si>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</si>
  <si>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</si>
  <si>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</si>
  <si>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</si>
  <si>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</si>
  <si>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</si>
  <si>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</si>
  <si>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</si>
  <si>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</si>
  <si>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</si>
  <si>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</si>
  <si>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</si>
  <si>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</si>
  <si>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</si>
  <si>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</si>
  <si>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</si>
  <si>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</si>
  <si>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</si>
  <si>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</si>
  <si>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</si>
  <si>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</si>
  <si>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</si>
  <si>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</si>
  <si>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</si>
  <si>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</si>
  <si>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</si>
  <si>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</si>
  <si>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</si>
  <si>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</si>
  <si>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</si>
  <si>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</si>
  <si>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</si>
  <si>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</si>
  <si>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</si>
  <si>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</si>
  <si>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</si>
  <si>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</si>
  <si>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</si>
  <si>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</si>
  <si>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</si>
  <si>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</si>
  <si>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</si>
  <si>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</si>
  <si>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</si>
  <si>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</si>
  <si>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</si>
  <si>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</si>
  <si>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</si>
  <si>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</si>
  <si>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</si>
  <si>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</si>
  <si>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</si>
  <si>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</si>
  <si>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</si>
  <si>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</si>
  <si>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</si>
  <si>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</si>
  <si>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</si>
  <si>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</si>
  <si>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</si>
  <si>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</si>
  <si>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</si>
  <si>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</si>
  <si>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</si>
  <si>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</si>
  <si>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</si>
  <si>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</si>
  <si>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</si>
  <si>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</si>
  <si>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</si>
  <si>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</si>
  <si>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</si>
  <si>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</si>
  <si>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</si>
  <si>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</si>
  <si>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</si>
  <si>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</si>
  <si>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</si>
  <si>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</si>
  <si>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</si>
  <si>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</si>
  <si>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</si>
  <si>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</si>
  <si>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</si>
  <si>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</si>
  <si>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</si>
  <si>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</si>
  <si>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</si>
  <si>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</si>
  <si>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</si>
  <si>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</si>
  <si>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</si>
  <si>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</si>
  <si>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</si>
  <si>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</si>
  <si>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</si>
  <si>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</si>
  <si>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</si>
  <si>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</si>
  <si>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</si>
  <si>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</si>
  <si>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</si>
  <si>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</si>
  <si>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</si>
  <si>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</si>
  <si>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</si>
  <si>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</si>
  <si>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</si>
  <si>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</si>
  <si>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</si>
  <si>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</si>
  <si>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</si>
  <si>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</si>
  <si>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</si>
  <si>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</si>
  <si>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</si>
  <si>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</si>
  <si>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</si>
  <si>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</si>
  <si>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</si>
  <si>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</si>
  <si>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</si>
  <si>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</si>
  <si>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</si>
  <si>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</si>
  <si>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</si>
  <si>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</si>
  <si>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</si>
  <si>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</si>
  <si>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</si>
  <si>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</si>
  <si>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</si>
  <si>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</si>
  <si>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</si>
  <si>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</si>
  <si>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</si>
  <si>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</si>
  <si>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</si>
  <si>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</si>
  <si>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</si>
  <si>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</si>
  <si>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</si>
  <si>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</si>
  <si>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</si>
  <si>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</si>
  <si>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</si>
  <si>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</si>
  <si>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</si>
  <si>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</si>
  <si>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</si>
  <si>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</si>
  <si>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</si>
  <si>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</si>
  <si>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</si>
  <si>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</si>
  <si>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</si>
  <si>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</si>
  <si>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</si>
  <si>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</si>
  <si>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</si>
  <si>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</si>
  <si>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</si>
  <si>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</si>
  <si>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</si>
  <si>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</si>
  <si>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</si>
  <si>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</si>
  <si>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</si>
  <si>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</si>
  <si>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</si>
  <si>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</si>
  <si>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</si>
  <si>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</si>
  <si>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</si>
  <si>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</si>
  <si>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</si>
  <si>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</si>
  <si>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</si>
  <si>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</si>
  <si>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</si>
  <si>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</si>
  <si>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</si>
  <si>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</si>
  <si>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</si>
  <si>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</si>
  <si>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</si>
  <si>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</si>
  <si>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</si>
  <si>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</si>
  <si>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</si>
  <si>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</si>
  <si>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</si>
  <si>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</si>
  <si>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</si>
  <si>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</si>
  <si>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</si>
  <si>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</si>
  <si>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</si>
  <si>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</si>
  <si>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</si>
  <si>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</si>
  <si>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</si>
  <si>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</si>
  <si>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</si>
  <si>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</si>
  <si>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</si>
  <si>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</si>
  <si>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</si>
  <si>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</si>
  <si>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</si>
  <si>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</si>
  <si>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</si>
  <si>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</si>
  <si>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</si>
  <si>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</si>
  <si>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</si>
  <si>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</si>
  <si>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</si>
  <si>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</si>
  <si>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</si>
  <si>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</si>
  <si>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</si>
  <si>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</si>
  <si>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</si>
  <si>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</si>
  <si>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</si>
  <si>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</si>
  <si>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</si>
  <si>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</si>
  <si>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</si>
  <si>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</si>
  <si>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</si>
  <si>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</si>
  <si>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</si>
  <si>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</si>
  <si>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</si>
  <si>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</si>
  <si>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</si>
  <si>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</si>
  <si>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</si>
  <si>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</si>
  <si>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</si>
  <si>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</si>
  <si>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</si>
  <si>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</si>
  <si>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</si>
  <si>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</si>
  <si>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</si>
  <si>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</si>
  <si>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</si>
  <si>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</si>
  <si>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</si>
  <si>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</si>
  <si>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</si>
  <si>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</si>
  <si>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</si>
  <si>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</si>
  <si>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</si>
  <si>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</si>
  <si>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</si>
  <si>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</si>
  <si>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</si>
  <si>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</si>
  <si>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</si>
  <si>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</si>
  <si>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</si>
  <si>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</si>
  <si>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</si>
  <si>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</si>
  <si>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</si>
  <si>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</si>
  <si>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</si>
  <si>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</si>
  <si>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</si>
  <si>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</si>
  <si>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</si>
  <si>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</si>
  <si>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</si>
  <si>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</si>
  <si>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</si>
  <si>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</si>
  <si>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</si>
  <si>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</si>
  <si>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</si>
  <si>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</si>
  <si>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</si>
  <si>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</si>
  <si>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</si>
  <si>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</si>
  <si>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</si>
  <si>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</si>
  <si>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</si>
  <si>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</si>
  <si>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</si>
  <si>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</si>
  <si>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</si>
  <si>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</si>
  <si>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</si>
  <si>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</si>
  <si>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</si>
  <si>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</si>
  <si>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</si>
  <si>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</si>
  <si>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</si>
  <si>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</si>
  <si>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</si>
  <si>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</si>
  <si>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</si>
  <si>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</si>
  <si>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</si>
  <si>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</si>
  <si>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</si>
  <si>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</si>
  <si>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</si>
  <si>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</si>
  <si>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</si>
  <si>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</si>
  <si>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</si>
  <si>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</si>
  <si>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</si>
  <si>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</si>
  <si>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</si>
  <si>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</si>
  <si>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</si>
  <si>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</si>
  <si>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</si>
  <si>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</si>
  <si>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</si>
  <si>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</si>
  <si>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</si>
  <si>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</si>
  <si>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</si>
  <si>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</si>
  <si>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</si>
  <si>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</si>
  <si>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</si>
  <si>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</si>
  <si>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</si>
  <si>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</si>
  <si>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</si>
  <si>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</si>
  <si>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</si>
  <si>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</si>
  <si>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</si>
  <si>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</si>
  <si>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</si>
  <si>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</si>
  <si>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</si>
  <si>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</si>
  <si>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</si>
  <si>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</si>
  <si>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</si>
  <si>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</si>
  <si>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</si>
  <si>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</si>
  <si>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</si>
  <si>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</si>
  <si>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</si>
  <si>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</si>
  <si>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</si>
  <si>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</si>
  <si>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</si>
  <si>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</si>
  <si>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</si>
  <si>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</si>
  <si>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</si>
  <si>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</si>
  <si>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</si>
  <si>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</si>
  <si>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</si>
  <si>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</si>
  <si>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</si>
  <si>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</si>
  <si>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</si>
  <si>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</si>
  <si>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</si>
  <si>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</si>
  <si>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</si>
  <si>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</si>
  <si>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</si>
  <si>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</si>
  <si>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</si>
  <si>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</si>
  <si>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</si>
  <si>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</si>
  <si>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</si>
  <si>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</si>
  <si>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</si>
  <si>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</si>
  <si>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</si>
  <si>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</si>
  <si>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</si>
  <si>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</si>
  <si>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</si>
  <si>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</si>
  <si>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</si>
  <si>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</si>
  <si>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</si>
  <si>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</si>
  <si>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</si>
  <si>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</si>
  <si>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</si>
  <si>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</si>
  <si>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</si>
  <si>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</si>
  <si>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</si>
  <si>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</si>
  <si>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</si>
  <si>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</si>
  <si>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</si>
  <si>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</si>
  <si>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</si>
  <si>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</si>
  <si>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</si>
  <si>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</si>
  <si>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</si>
  <si>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</si>
  <si>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</si>
  <si>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</si>
  <si>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</si>
  <si>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</si>
  <si>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</si>
  <si>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</si>
  <si>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</si>
  <si>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</si>
  <si>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</si>
  <si>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</si>
  <si>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</si>
  <si>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</si>
  <si>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</si>
  <si>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</si>
  <si>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</si>
  <si>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</si>
  <si>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</si>
  <si>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</si>
  <si>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</si>
  <si>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</si>
  <si>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</si>
  <si>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</si>
  <si>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</si>
  <si>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</si>
  <si>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</si>
  <si>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</si>
  <si>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</si>
  <si>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</si>
  <si>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</si>
  <si>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</si>
  <si>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</si>
  <si>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</si>
  <si>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</si>
  <si>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</si>
  <si>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</si>
  <si>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</si>
  <si>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</si>
  <si>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</si>
  <si>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</si>
  <si>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</si>
  <si>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</si>
  <si>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</si>
  <si>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</si>
  <si>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</si>
  <si>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</si>
  <si>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</si>
  <si>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</si>
  <si>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</si>
  <si>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</si>
  <si>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</si>
  <si>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</si>
  <si>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</si>
  <si>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</si>
  <si>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</si>
  <si>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</si>
  <si>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</si>
  <si>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</si>
  <si>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</si>
  <si>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</si>
  <si>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</si>
  <si>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</si>
  <si>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</si>
  <si>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</si>
  <si>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</si>
  <si>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</si>
  <si>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</si>
  <si>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</si>
  <si>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</si>
  <si>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</si>
  <si>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</si>
  <si>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</si>
  <si>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</si>
  <si>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</si>
  <si>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</si>
  <si>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</si>
  <si>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</si>
  <si>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</si>
  <si>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</si>
  <si>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</si>
  <si>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</si>
  <si>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</si>
  <si>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</si>
  <si>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</si>
  <si>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</si>
  <si>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</si>
  <si>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</si>
  <si>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</si>
  <si>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</si>
  <si>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</si>
  <si>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</si>
  <si>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</si>
  <si>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</si>
  <si>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</si>
  <si>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</si>
  <si>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</si>
  <si>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</si>
  <si>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</si>
  <si>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</si>
  <si>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</si>
  <si>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</si>
  <si>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</si>
  <si>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</si>
  <si>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</si>
  <si>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</si>
  <si>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</si>
  <si>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</si>
  <si>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</si>
  <si>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</si>
  <si>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</si>
  <si>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</si>
  <si>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</si>
  <si>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</si>
  <si>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</si>
  <si>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</si>
  <si>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</si>
  <si>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</si>
  <si>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</si>
  <si>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</si>
  <si>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</si>
  <si>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</si>
  <si>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</si>
  <si>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</si>
  <si>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</si>
  <si>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</si>
  <si>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</si>
  <si>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</si>
  <si>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</si>
  <si>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</si>
  <si>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</si>
  <si>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</si>
  <si>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</si>
  <si>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</si>
  <si>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</si>
  <si>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</si>
  <si>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</si>
  <si>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</si>
  <si>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</si>
  <si>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</si>
  <si>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</si>
  <si>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</si>
  <si>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</si>
  <si>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</si>
  <si>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</si>
  <si>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</si>
  <si>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</si>
  <si>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</si>
  <si>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</si>
  <si>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</si>
  <si>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</si>
  <si>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</si>
  <si>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</si>
  <si>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</si>
  <si>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</si>
  <si>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</si>
  <si>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</si>
  <si>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</si>
  <si>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</si>
  <si>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</si>
  <si>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</si>
  <si>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</si>
  <si>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</si>
  <si>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</si>
  <si>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</si>
  <si>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</si>
  <si>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</si>
  <si>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</si>
  <si>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</si>
  <si>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</si>
  <si>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</si>
  <si>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</si>
  <si>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</si>
  <si>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</si>
  <si>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</si>
  <si>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</si>
  <si>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</si>
  <si>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</si>
  <si>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</si>
  <si>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</si>
  <si>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</si>
  <si>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</si>
  <si>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</si>
  <si>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</si>
  <si>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</si>
  <si>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</si>
  <si>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</si>
  <si>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</si>
  <si>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</si>
  <si>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</si>
  <si>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</si>
  <si>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</si>
  <si>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</si>
  <si>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</si>
  <si>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</si>
  <si>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</si>
  <si>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</si>
  <si>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</si>
  <si>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</si>
  <si>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</si>
  <si>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</si>
  <si>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</si>
  <si>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</si>
  <si>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</si>
  <si>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</si>
  <si>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</si>
  <si>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</si>
  <si>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</si>
  <si>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</si>
  <si>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</si>
  <si>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</si>
  <si>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</si>
  <si>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</si>
  <si>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</si>
  <si>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</si>
  <si>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</si>
  <si>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</si>
  <si>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</si>
  <si>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</si>
  <si>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</si>
  <si>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</si>
  <si>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</si>
  <si>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</si>
  <si>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</si>
  <si>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</si>
  <si>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</si>
  <si>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</si>
  <si>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</si>
  <si>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</si>
  <si>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</si>
  <si>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</si>
  <si>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</si>
  <si>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</si>
  <si>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</si>
  <si>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</si>
  <si>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</si>
  <si>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</si>
  <si>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</si>
  <si>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</si>
  <si>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</si>
  <si>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</si>
  <si>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</si>
  <si>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</si>
  <si>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</si>
  <si>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</si>
  <si>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</si>
  <si>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</si>
  <si>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</si>
  <si>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</si>
  <si>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</si>
  <si>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</si>
  <si>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</si>
  <si>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</si>
  <si>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</si>
  <si>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</si>
  <si>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</si>
  <si>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</si>
  <si>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</si>
  <si>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</si>
  <si>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</si>
  <si>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</si>
  <si>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</si>
  <si>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</si>
  <si>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</si>
  <si>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</si>
  <si>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</si>
  <si>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</si>
  <si>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</si>
  <si>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</si>
  <si>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</si>
  <si>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</si>
  <si>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</si>
  <si>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</si>
  <si>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</si>
  <si>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</si>
  <si>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</si>
  <si>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</si>
  <si>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</si>
  <si>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</si>
  <si>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</si>
  <si>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</si>
  <si>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</si>
  <si>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</si>
  <si>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</si>
  <si>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</si>
  <si>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</si>
  <si>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</si>
  <si>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</si>
  <si>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</si>
  <si>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</si>
  <si>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</si>
  <si>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</si>
  <si>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</si>
  <si>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</si>
  <si>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</si>
  <si>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</si>
  <si>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</si>
  <si>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</si>
  <si>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</si>
  <si>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</si>
  <si>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</si>
  <si>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</si>
  <si>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</si>
  <si>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</si>
  <si>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</si>
  <si>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</si>
  <si>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</si>
  <si>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</si>
  <si>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</si>
  <si>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</si>
  <si>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</si>
  <si>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</si>
  <si>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</si>
  <si>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</si>
  <si>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</si>
  <si>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</si>
  <si>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</si>
  <si>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</si>
  <si>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</si>
  <si>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</si>
  <si>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</si>
  <si>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</si>
  <si>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</si>
  <si>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</si>
  <si>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</si>
  <si>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</si>
  <si>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</si>
  <si>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</si>
  <si>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</si>
  <si>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</si>
  <si>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</si>
  <si>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</si>
  <si>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</si>
  <si>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</si>
  <si>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</si>
  <si>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</si>
  <si>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</si>
  <si>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</si>
  <si>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</si>
  <si>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</si>
  <si>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</si>
  <si>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</si>
  <si>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</si>
  <si>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</si>
  <si>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</si>
  <si>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</si>
  <si>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</si>
  <si>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</si>
  <si>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</si>
  <si>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</si>
  <si>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</si>
  <si>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</si>
  <si>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</si>
  <si>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</si>
  <si>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</si>
  <si>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</si>
  <si>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</si>
  <si>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</si>
  <si>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</si>
  <si>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</si>
  <si>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</si>
  <si>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</si>
  <si>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</si>
  <si>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</si>
  <si>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</si>
  <si>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</si>
  <si>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</si>
  <si>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</si>
  <si>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</si>
  <si>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</si>
  <si>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</si>
  <si>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</si>
  <si>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</si>
  <si>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</si>
  <si>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</si>
  <si>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</si>
  <si>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</si>
  <si>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</si>
  <si>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</si>
  <si>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</si>
  <si>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</si>
  <si>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</si>
  <si>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</si>
  <si>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</si>
  <si>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</si>
  <si>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</si>
  <si>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</si>
  <si>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</si>
  <si>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</si>
  <si>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</si>
  <si>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</si>
  <si>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</si>
  <si>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</si>
  <si>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</si>
  <si>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</si>
  <si>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</si>
  <si>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</si>
  <si>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</si>
  <si>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</si>
  <si>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</si>
  <si>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</si>
  <si>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</si>
  <si>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</si>
  <si>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</si>
  <si>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</si>
  <si>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</si>
  <si>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</si>
  <si>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</si>
  <si>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</si>
  <si>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</si>
  <si>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</si>
  <si>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</si>
  <si>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</si>
  <si>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</si>
  <si>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</si>
  <si>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</si>
  <si>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</si>
  <si>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</si>
  <si>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</si>
  <si>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</si>
  <si>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</si>
  <si>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</si>
  <si>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</si>
  <si>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</si>
  <si>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</si>
  <si>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</si>
  <si>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</si>
  <si>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</si>
  <si>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</si>
  <si>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</si>
  <si>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</si>
  <si>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</si>
  <si>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</si>
  <si>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</si>
  <si>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</si>
  <si>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</si>
  <si>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</si>
  <si>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</si>
  <si>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</si>
  <si>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</si>
  <si>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</si>
  <si>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</si>
  <si>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</si>
  <si>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</si>
  <si>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</si>
  <si>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</si>
  <si>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</si>
  <si>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</si>
  <si>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</si>
  <si>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</si>
  <si>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</si>
  <si>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</si>
  <si>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</si>
  <si>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</si>
  <si>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</si>
  <si>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</si>
  <si>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</si>
  <si>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</si>
  <si>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</si>
  <si>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</si>
  <si>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</si>
  <si>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</si>
  <si>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</si>
  <si>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</si>
  <si>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</si>
  <si>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</si>
  <si>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</si>
  <si>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</si>
  <si>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</si>
  <si>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</si>
  <si>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</si>
  <si>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</si>
  <si>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</si>
  <si>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</si>
  <si>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</si>
  <si>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</si>
  <si>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</si>
  <si>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</si>
  <si>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</si>
  <si>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</si>
  <si>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</si>
  <si>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</si>
  <si>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</si>
  <si>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</si>
  <si>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</si>
  <si>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</si>
  <si>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</si>
  <si>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</si>
  <si>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</si>
  <si>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</si>
  <si>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</si>
  <si>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</si>
  <si>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</si>
  <si>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</si>
  <si>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</si>
  <si>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</si>
  <si>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</si>
  <si>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</si>
  <si>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</si>
  <si>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</si>
  <si>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</si>
  <si>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</si>
  <si>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</si>
  <si>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</si>
  <si>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</si>
  <si>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</si>
  <si>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</si>
  <si>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</si>
  <si>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</si>
  <si>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</si>
  <si>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</si>
  <si>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</si>
  <si>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</si>
  <si>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</si>
  <si>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</si>
  <si>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</si>
  <si>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</si>
  <si>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</si>
  <si>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</si>
  <si>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</si>
  <si>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</si>
  <si>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</si>
  <si>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</si>
  <si>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</si>
  <si>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</si>
  <si>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</si>
  <si>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</si>
  <si>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</si>
  <si>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</si>
  <si>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</si>
  <si>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</si>
  <si>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</si>
  <si>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</si>
  <si>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</si>
  <si>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</si>
  <si>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</si>
  <si>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</si>
  <si>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</si>
  <si>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</si>
  <si>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</si>
  <si>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</si>
  <si>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</si>
  <si>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</si>
  <si>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</si>
  <si>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</si>
  <si>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</si>
  <si>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</si>
  <si>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</si>
  <si>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</si>
  <si>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</si>
  <si>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</si>
  <si>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</si>
  <si>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</si>
  <si>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</si>
  <si>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</si>
  <si>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</si>
  <si>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</si>
  <si>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</si>
  <si>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</si>
  <si>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</si>
  <si>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</si>
  <si>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</si>
  <si>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</si>
  <si>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</si>
  <si>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</si>
  <si>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</si>
  <si>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</si>
  <si>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</si>
  <si>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</si>
  <si>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</si>
  <si>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</si>
  <si>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</si>
  <si>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</si>
  <si>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</si>
  <si>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</si>
  <si>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</si>
  <si>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</si>
  <si>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</si>
  <si>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</si>
  <si>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</si>
  <si>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</si>
  <si>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</si>
  <si>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</si>
  <si>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</si>
  <si>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</si>
  <si>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</si>
  <si>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</si>
  <si>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</si>
  <si>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</si>
  <si>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</si>
  <si>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</si>
  <si>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</si>
  <si>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</si>
  <si>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</si>
  <si>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</si>
  <si>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</si>
  <si>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</si>
  <si>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</si>
  <si>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</si>
  <si>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</si>
  <si>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</si>
  <si>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</si>
  <si>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</si>
  <si>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</si>
  <si>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</si>
  <si>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</si>
  <si>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</si>
  <si>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</si>
  <si>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</si>
  <si>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</si>
  <si>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</si>
  <si>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</si>
  <si>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</si>
  <si>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</si>
  <si>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</si>
  <si>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</si>
  <si>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</si>
  <si>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</si>
  <si>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</si>
  <si>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</si>
  <si>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</si>
  <si>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</si>
  <si>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</si>
  <si>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</si>
  <si>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</si>
  <si>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</si>
  <si>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</si>
  <si>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</si>
  <si>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</si>
  <si>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</si>
  <si>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</si>
  <si>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</si>
  <si>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</si>
  <si>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</si>
  <si>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</si>
  <si>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</si>
  <si>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</si>
  <si>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</si>
  <si>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</si>
  <si>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</si>
  <si>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</si>
  <si>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</si>
  <si>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</si>
  <si>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</si>
  <si>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</si>
  <si>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</si>
  <si>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</si>
  <si>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</si>
  <si>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</si>
  <si>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</si>
  <si>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</si>
  <si>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</si>
  <si>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</si>
  <si>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</si>
  <si>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</si>
  <si>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</si>
  <si>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</si>
  <si>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</si>
  <si>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</si>
  <si>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</si>
  <si>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</si>
  <si>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</si>
  <si>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</si>
  <si>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</si>
  <si>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</si>
  <si>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</si>
  <si>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</si>
  <si>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</si>
  <si>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</si>
  <si>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</si>
  <si>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</si>
  <si>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</si>
  <si>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</si>
  <si>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</si>
  <si>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</si>
  <si>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</si>
  <si>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</si>
  <si>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</si>
  <si>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</si>
  <si>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</si>
  <si>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</si>
  <si>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</si>
  <si>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</si>
  <si>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</si>
  <si>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</si>
  <si>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</si>
  <si>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</si>
  <si>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</si>
  <si>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</si>
  <si>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</si>
  <si>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</si>
  <si>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</si>
  <si>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</si>
  <si>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</si>
  <si>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</si>
  <si>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</si>
  <si>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</si>
  <si>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</si>
  <si>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</si>
  <si>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</si>
  <si>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</si>
  <si>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</si>
  <si>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</si>
  <si>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</si>
  <si>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</si>
  <si>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</si>
  <si>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</si>
  <si>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</si>
  <si>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</si>
  <si>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</si>
  <si>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</si>
  <si>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</si>
  <si>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</si>
  <si>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</si>
  <si>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</si>
  <si>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</si>
  <si>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</si>
  <si>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</si>
  <si>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</si>
  <si>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</si>
  <si>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</si>
  <si>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</si>
  <si>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</si>
  <si>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</si>
  <si>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</si>
  <si>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</si>
  <si>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</si>
  <si>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</si>
  <si>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</si>
  <si>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</si>
  <si>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</si>
  <si>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</si>
  <si>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</si>
  <si>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</si>
  <si>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</si>
  <si>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</si>
  <si>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</si>
  <si>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</si>
  <si>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</si>
  <si>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</si>
  <si>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</si>
  <si>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</si>
  <si>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</si>
  <si>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</si>
  <si>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</si>
  <si>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</si>
  <si>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</si>
  <si>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</si>
  <si>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</si>
  <si>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</si>
  <si>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</si>
  <si>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</si>
  <si>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</si>
  <si>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</si>
  <si>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</si>
  <si>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</si>
  <si>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</si>
  <si>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</si>
  <si>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</si>
  <si>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</si>
  <si>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</si>
  <si>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</si>
  <si>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</si>
  <si>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</si>
  <si>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</si>
  <si>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</si>
  <si>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</si>
  <si>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</si>
  <si>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</si>
  <si>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</si>
  <si>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</si>
  <si>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</si>
  <si>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</si>
  <si>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</si>
  <si>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</si>
  <si>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</si>
  <si>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</si>
  <si>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</si>
  <si>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</si>
  <si>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</si>
  <si>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</si>
  <si>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</si>
  <si>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</si>
  <si>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</si>
  <si>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</si>
  <si>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</si>
  <si>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</si>
  <si>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</si>
  <si>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</si>
  <si>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</si>
  <si>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</si>
  <si>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</si>
  <si>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</si>
  <si>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</si>
  <si>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</si>
  <si>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</si>
  <si>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</si>
  <si>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</si>
  <si>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</si>
  <si>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</si>
  <si>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</si>
  <si>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</si>
  <si>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</si>
  <si>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</si>
  <si>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</si>
  <si>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</si>
  <si>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</si>
  <si>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</si>
  <si>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</si>
  <si>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</si>
  <si>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</si>
  <si>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</si>
  <si>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</si>
  <si>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</si>
  <si>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</si>
  <si>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</si>
  <si>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</si>
  <si>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</si>
  <si>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</si>
  <si>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</si>
  <si>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</si>
  <si>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</si>
  <si>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</si>
  <si>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</si>
  <si>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</si>
  <si>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</si>
  <si>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</si>
  <si>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</si>
  <si>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</si>
  <si>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</si>
  <si>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</si>
  <si>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</si>
  <si>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</si>
  <si>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</si>
  <si>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</si>
  <si>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</si>
  <si>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</si>
  <si>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</si>
  <si>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</si>
  <si>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</si>
  <si>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</si>
  <si>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</si>
  <si>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</si>
  <si>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</si>
  <si>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</si>
  <si>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</si>
  <si>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</si>
  <si>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</si>
  <si>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</si>
  <si>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</si>
  <si>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</si>
  <si>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</si>
  <si>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</si>
  <si>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</si>
  <si>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</si>
  <si>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</si>
  <si>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</si>
  <si>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</si>
  <si>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</si>
  <si>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</si>
  <si>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</si>
  <si>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</si>
  <si>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</si>
  <si>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</si>
  <si>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</si>
  <si>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</si>
  <si>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</si>
  <si>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</si>
  <si>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</si>
  <si>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</si>
  <si>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</si>
  <si>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</si>
  <si>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</si>
  <si>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</si>
  <si>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</si>
  <si>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</si>
  <si>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</si>
  <si>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</si>
  <si>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</si>
  <si>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</si>
  <si>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</si>
  <si>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</si>
  <si>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</si>
  <si>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</si>
  <si>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</si>
  <si>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</si>
  <si>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</si>
  <si>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</si>
  <si>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</si>
  <si>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</si>
  <si>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</si>
  <si>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</si>
  <si>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</si>
  <si>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</si>
  <si>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</si>
  <si>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</si>
  <si>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</si>
  <si>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</si>
  <si>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</si>
  <si>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</si>
  <si>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</si>
  <si>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</si>
  <si>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</si>
  <si>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</si>
  <si>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</si>
  <si>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</si>
  <si>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</si>
  <si>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</si>
  <si>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</si>
  <si>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</si>
  <si>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</si>
  <si>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</si>
  <si>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</si>
  <si>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</si>
  <si>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</si>
  <si>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</si>
  <si>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</si>
  <si>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</si>
  <si>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</si>
  <si>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</si>
  <si>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</si>
  <si>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</si>
  <si>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</si>
  <si>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</si>
  <si>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</si>
  <si>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</si>
  <si>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</si>
  <si>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</si>
  <si>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</si>
  <si>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</si>
  <si>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</si>
  <si>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</si>
  <si>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</si>
  <si>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</si>
  <si>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</si>
  <si>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</si>
  <si>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</si>
  <si>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</si>
  <si>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</si>
  <si>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</si>
  <si>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</si>
  <si>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</si>
  <si>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</si>
  <si>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</si>
  <si>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</si>
  <si>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</si>
  <si>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</si>
  <si>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</si>
  <si>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</si>
  <si>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</si>
  <si>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</si>
  <si>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</si>
  <si>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</si>
  <si>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</si>
  <si>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</si>
  <si>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</si>
  <si>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</si>
  <si>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</si>
  <si>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</si>
  <si>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</si>
  <si>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</si>
  <si>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</si>
  <si>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</si>
  <si>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</si>
  <si>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</si>
  <si>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</si>
  <si>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</si>
  <si>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</si>
  <si>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</si>
  <si>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</si>
  <si>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</si>
  <si>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</si>
  <si>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</si>
  <si>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</si>
  <si>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</si>
  <si>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</si>
  <si>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</si>
  <si>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</si>
  <si>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</si>
  <si>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</si>
  <si>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</si>
  <si>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</si>
  <si>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</si>
  <si>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</si>
  <si>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</si>
  <si>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</si>
  <si>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</si>
  <si>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</si>
  <si>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</si>
  <si>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</si>
  <si>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</si>
  <si>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</si>
  <si>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</si>
  <si>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</si>
  <si>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</si>
  <si>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</si>
  <si>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</si>
  <si>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</si>
  <si>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</si>
  <si>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</si>
  <si>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</si>
  <si>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</si>
  <si>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</si>
  <si>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</si>
  <si>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</si>
  <si>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</si>
  <si>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</si>
  <si>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</si>
  <si>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</si>
  <si>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</si>
  <si>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</si>
  <si>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</si>
  <si>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</si>
  <si>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</si>
  <si>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</si>
  <si>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</si>
  <si>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</si>
  <si>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</si>
  <si>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</si>
  <si>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</si>
  <si>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</si>
  <si>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</si>
  <si>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</si>
  <si>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</si>
  <si>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</si>
  <si>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</si>
  <si>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</si>
  <si>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</si>
  <si>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</si>
  <si>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</si>
  <si>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</si>
  <si>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</si>
  <si>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</si>
  <si>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</si>
  <si>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</si>
  <si>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</si>
  <si>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</si>
  <si>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</si>
  <si>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</si>
  <si>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</si>
  <si>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</si>
  <si>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</si>
  <si>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</si>
  <si>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</si>
  <si>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</si>
  <si>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</si>
  <si>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</si>
  <si>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</si>
  <si>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</si>
  <si>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</si>
  <si>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</si>
  <si>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</si>
  <si>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</si>
  <si>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</si>
  <si>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</si>
  <si>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</si>
  <si>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</si>
  <si>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</si>
  <si>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</si>
  <si>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</si>
  <si>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</si>
  <si>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</si>
  <si>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</si>
  <si>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</si>
  <si>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</si>
  <si>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</si>
  <si>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</si>
  <si>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</si>
  <si>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</si>
  <si>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</si>
  <si>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</si>
  <si>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</si>
  <si>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</si>
  <si>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</si>
  <si>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</si>
  <si>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</si>
  <si>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</si>
  <si>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</si>
  <si>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</si>
  <si>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</si>
  <si>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</si>
  <si>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</si>
  <si>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</si>
  <si>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</si>
  <si>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</si>
  <si>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</si>
  <si>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</si>
  <si>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</si>
  <si>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</si>
  <si>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</si>
  <si>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</si>
  <si>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</si>
  <si>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</si>
  <si>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</si>
  <si>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</si>
  <si>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</si>
  <si>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</si>
  <si>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</si>
  <si>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</si>
  <si>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</si>
  <si>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</si>
  <si>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</si>
  <si>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</si>
  <si>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</si>
  <si>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</si>
  <si>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</si>
  <si>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</si>
  <si>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</si>
  <si>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</si>
  <si>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</si>
  <si>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</si>
  <si>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</si>
  <si>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</si>
  <si>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</si>
  <si>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</si>
  <si>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</si>
  <si>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</si>
  <si>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</si>
  <si>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</si>
  <si>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</si>
  <si>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</si>
  <si>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</si>
  <si>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</si>
  <si>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</si>
  <si>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</si>
  <si>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</si>
  <si>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</si>
  <si>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</si>
  <si>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</si>
  <si>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</si>
  <si>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</si>
  <si>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</si>
  <si>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</si>
  <si>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</si>
  <si>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</si>
  <si>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</si>
  <si>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</si>
  <si>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</si>
  <si>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</si>
  <si>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</si>
  <si>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</si>
  <si>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</si>
  <si>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</si>
  <si>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</si>
  <si>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</si>
  <si>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</si>
  <si>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</si>
  <si>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</si>
  <si>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</si>
  <si>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</si>
  <si>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</si>
  <si>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</si>
  <si>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</si>
  <si>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</si>
  <si>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</si>
  <si>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</si>
  <si>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</si>
  <si>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</si>
  <si>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</si>
  <si>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</si>
  <si>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</si>
  <si>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</si>
  <si>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</si>
  <si>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</si>
  <si>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</si>
  <si>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</si>
  <si>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</si>
  <si>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</si>
  <si>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</si>
  <si>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</si>
  <si>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</si>
  <si>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</si>
  <si>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</si>
  <si>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</si>
  <si>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</si>
  <si>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</si>
  <si>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</si>
  <si>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</si>
  <si>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</si>
  <si>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</si>
  <si>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</si>
  <si>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</si>
  <si>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</si>
  <si>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</si>
  <si>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</si>
  <si>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</si>
  <si>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</si>
  <si>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</si>
  <si>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</si>
  <si>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</si>
  <si>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</si>
  <si>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</si>
  <si>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</si>
  <si>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</si>
  <si>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</si>
  <si>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</si>
  <si>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</si>
  <si>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</si>
  <si>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</si>
  <si>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</si>
  <si>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</si>
  <si>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</si>
  <si>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</si>
  <si>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</si>
  <si>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</si>
  <si>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</si>
  <si>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</si>
  <si>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</si>
  <si>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</si>
  <si>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</si>
  <si>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</si>
  <si>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</si>
  <si>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</si>
  <si>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</si>
  <si>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</si>
  <si>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</si>
  <si>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</si>
  <si>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</si>
  <si>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</si>
  <si>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</si>
  <si>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</si>
  <si>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</si>
  <si>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</si>
  <si>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</si>
  <si>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</si>
  <si>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</si>
  <si>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</si>
  <si>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</si>
  <si>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</si>
  <si>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</si>
  <si>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</si>
  <si>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</si>
  <si>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</si>
  <si>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</si>
  <si>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</si>
  <si>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</si>
  <si>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</si>
  <si>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</si>
  <si>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</si>
  <si>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</si>
  <si>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</si>
  <si>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</si>
  <si>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</si>
  <si>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</si>
  <si>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</si>
  <si>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</si>
  <si>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</si>
  <si>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</si>
  <si>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</si>
  <si>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</si>
  <si>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</si>
  <si>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</si>
  <si>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</si>
  <si>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</si>
  <si>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</si>
  <si>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</si>
  <si>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</si>
  <si>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</si>
  <si>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</si>
  <si>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</si>
  <si>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</si>
  <si>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</si>
  <si>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</si>
  <si>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</si>
  <si>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</si>
  <si>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</si>
  <si>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</si>
  <si>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</si>
  <si>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</si>
  <si>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</si>
  <si>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</si>
  <si>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</si>
  <si>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</si>
  <si>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</si>
  <si>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</si>
  <si>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</si>
  <si>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</si>
  <si>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</si>
  <si>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</si>
  <si>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</si>
  <si>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</si>
  <si>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</si>
  <si>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</si>
  <si>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</si>
  <si>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</si>
  <si>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</si>
  <si>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</si>
  <si>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</si>
  <si>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</si>
  <si>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</si>
  <si>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</si>
  <si>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</si>
  <si>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</si>
  <si>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</si>
  <si>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</si>
  <si>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</si>
  <si>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</si>
  <si>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</si>
  <si>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</si>
  <si>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</si>
  <si>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</si>
  <si>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</si>
  <si>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</si>
  <si>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</si>
  <si>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</si>
  <si>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</si>
  <si>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</si>
  <si>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</si>
  <si>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</si>
  <si>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</si>
  <si>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</si>
  <si>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</si>
  <si>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</si>
  <si>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</si>
  <si>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</si>
  <si>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</si>
  <si>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</si>
  <si>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</si>
  <si>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</si>
  <si>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</si>
  <si>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</si>
  <si>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</si>
  <si>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</si>
  <si>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</si>
  <si>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</si>
  <si>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</si>
  <si>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</si>
  <si>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</si>
  <si>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</si>
  <si>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</si>
  <si>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</si>
  <si>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</si>
  <si>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</si>
  <si>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</si>
  <si>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</si>
  <si>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</si>
  <si>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</si>
  <si>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</si>
  <si>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</si>
  <si>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</si>
  <si>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</si>
  <si>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</si>
  <si>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</si>
  <si>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</si>
  <si>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</si>
  <si>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</si>
  <si>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</si>
  <si>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</si>
  <si>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</si>
  <si>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</si>
  <si>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</si>
  <si>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</si>
  <si>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</si>
  <si>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</si>
  <si>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</si>
  <si>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</si>
  <si>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</si>
  <si>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</si>
  <si>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</si>
  <si>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</si>
  <si>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</si>
  <si>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</si>
  <si>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</si>
  <si>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</si>
  <si>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</si>
  <si>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</si>
  <si>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</si>
  <si>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</si>
  <si>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</si>
  <si>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</si>
  <si>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</si>
  <si>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</si>
  <si>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</si>
  <si>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</si>
  <si>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</si>
  <si>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</si>
  <si>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</si>
  <si>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</si>
  <si>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</si>
  <si>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</si>
  <si>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</si>
  <si>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</si>
  <si>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</si>
  <si>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</si>
  <si>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</si>
  <si>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</si>
  <si>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</si>
  <si>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</si>
  <si>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</si>
  <si>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</si>
  <si>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</si>
  <si>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</si>
  <si>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</si>
  <si>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</si>
  <si>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</si>
  <si>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</si>
  <si>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</si>
  <si>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</si>
  <si>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</si>
  <si>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</si>
  <si>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</si>
  <si>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</si>
  <si>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</si>
  <si>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</si>
  <si>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</si>
  <si>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</si>
  <si>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</si>
  <si>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</si>
  <si>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</si>
  <si>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</si>
  <si>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</si>
  <si>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</si>
  <si>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</si>
  <si>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</si>
  <si>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</si>
  <si>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</si>
  <si>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</si>
  <si>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</si>
  <si>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</si>
  <si>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</si>
  <si>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</si>
  <si>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</si>
  <si>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</si>
  <si>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</si>
  <si>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</si>
  <si>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</si>
  <si>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</si>
  <si>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</si>
  <si>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</si>
  <si>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</si>
  <si>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</si>
  <si>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</si>
  <si>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</si>
  <si>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</si>
  <si>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</si>
  <si>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</si>
  <si>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</si>
  <si>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</si>
  <si>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</si>
  <si>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</si>
  <si>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</si>
  <si>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</si>
  <si>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</si>
  <si>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</si>
  <si>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</si>
  <si>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</si>
  <si>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</si>
  <si>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</si>
  <si>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</si>
  <si>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</si>
  <si>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</si>
  <si>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</si>
  <si>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</si>
  <si>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</si>
  <si>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</si>
  <si>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</si>
  <si>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</si>
  <si>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</si>
  <si>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</si>
  <si>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</si>
  <si>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</si>
  <si>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</si>
  <si>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</si>
  <si>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</si>
  <si>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</si>
  <si>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</si>
  <si>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</si>
  <si>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</si>
  <si>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</si>
  <si>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</si>
  <si>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</si>
  <si>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</si>
  <si>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</si>
  <si>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</si>
  <si>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</si>
  <si>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</si>
  <si>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</si>
  <si>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</si>
  <si>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</si>
  <si>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</si>
  <si>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</si>
  <si>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</si>
  <si>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</si>
  <si>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</si>
  <si>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</si>
  <si>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</si>
  <si>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</si>
  <si>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</si>
  <si>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</si>
  <si>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</si>
  <si>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</si>
  <si>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</si>
  <si>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</si>
  <si>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</si>
  <si>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</si>
  <si>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</si>
  <si>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</si>
  <si>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</si>
  <si>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</si>
  <si>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</si>
  <si>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</si>
  <si>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</si>
  <si>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</si>
  <si>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</si>
  <si>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</si>
  <si>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</si>
  <si>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</si>
  <si>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</si>
  <si>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</si>
  <si>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</si>
  <si>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</si>
  <si>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</si>
  <si>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</si>
  <si>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</si>
  <si>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</si>
  <si>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</si>
  <si>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</si>
  <si>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</si>
  <si>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</si>
  <si>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</si>
  <si>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</si>
  <si>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</si>
  <si>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</si>
  <si>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</si>
  <si>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</si>
  <si>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</si>
  <si>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</si>
  <si>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</si>
  <si>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</si>
  <si>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</si>
  <si>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</si>
  <si>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</si>
  <si>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</si>
  <si>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</si>
  <si>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</si>
  <si>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</si>
  <si>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</si>
  <si>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</si>
  <si>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</si>
  <si>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</si>
  <si>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</si>
  <si>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</si>
  <si>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</si>
  <si>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</si>
  <si>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</si>
  <si>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</si>
  <si>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</si>
  <si>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</si>
  <si>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</si>
  <si>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</si>
  <si>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</si>
  <si>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</si>
  <si>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</si>
  <si>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</si>
  <si>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</si>
  <si>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</si>
  <si>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</si>
  <si>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</si>
  <si>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</si>
  <si>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</si>
  <si>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</si>
  <si>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</si>
  <si>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</si>
  <si>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</si>
  <si>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</si>
  <si>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</si>
  <si>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</si>
  <si>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</si>
  <si>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</si>
  <si>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</si>
  <si>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</si>
  <si>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</si>
  <si>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</si>
  <si>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</si>
  <si>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</si>
  <si>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</si>
  <si>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</si>
  <si>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</si>
  <si>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</si>
  <si>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</si>
  <si>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</si>
  <si>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</si>
  <si>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</si>
  <si>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</si>
  <si>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</si>
  <si>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</si>
  <si>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</si>
  <si>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</si>
  <si>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</si>
  <si>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</si>
  <si>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</si>
  <si>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</si>
  <si>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</si>
  <si>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</si>
  <si>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</si>
  <si>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</si>
  <si>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</si>
  <si>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</si>
  <si>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</si>
  <si>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</si>
  <si>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</si>
  <si>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</si>
  <si>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</si>
  <si>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</si>
  <si>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</si>
  <si>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</si>
  <si>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</si>
  <si>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</si>
  <si>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</si>
  <si>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</si>
  <si>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</si>
  <si>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</si>
  <si>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</si>
  <si>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</si>
  <si>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</si>
  <si>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</si>
  <si>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</si>
  <si>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</si>
  <si>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</si>
  <si>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</si>
  <si>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</si>
  <si>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</si>
  <si>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</si>
  <si>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</si>
  <si>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</si>
  <si>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</si>
  <si>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</si>
  <si>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</si>
  <si>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</si>
  <si>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</si>
  <si>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</si>
  <si>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</si>
  <si>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</si>
  <si>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</si>
  <si>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</si>
  <si>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</si>
  <si>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</si>
  <si>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</si>
  <si>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</si>
  <si>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</si>
  <si>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</si>
  <si>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</si>
  <si>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</si>
  <si>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</si>
  <si>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</si>
  <si>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</si>
  <si>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</si>
  <si>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</si>
  <si>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</si>
  <si>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</si>
  <si>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</si>
  <si>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</si>
  <si>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</si>
  <si>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</si>
  <si>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</si>
  <si>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</si>
  <si>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</si>
  <si>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</si>
  <si>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</si>
  <si>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</si>
  <si>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</si>
  <si>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</si>
  <si>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</si>
  <si>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</si>
  <si>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</si>
  <si>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</si>
  <si>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</si>
  <si>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</si>
  <si>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</si>
  <si>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</si>
  <si>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</si>
  <si>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</si>
  <si>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</si>
  <si>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</si>
  <si>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</si>
  <si>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</si>
  <si>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</si>
  <si>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</si>
  <si>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</si>
  <si>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</si>
  <si>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</si>
  <si>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</si>
  <si>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</si>
  <si>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</si>
  <si>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</si>
  <si>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</si>
  <si>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</si>
  <si>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</si>
  <si>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</si>
  <si>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</si>
  <si>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</si>
  <si>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</si>
  <si>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</si>
  <si>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</si>
  <si>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</si>
  <si>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</si>
  <si>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</si>
  <si>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</si>
  <si>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</si>
  <si>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</si>
  <si>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</si>
  <si>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</si>
  <si>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</si>
  <si>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</si>
  <si>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</si>
  <si>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</si>
  <si>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</si>
  <si>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</si>
  <si>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</si>
  <si>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</si>
  <si>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</si>
  <si>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</si>
  <si>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</si>
  <si>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</si>
  <si>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</si>
  <si>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</si>
  <si>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</si>
  <si>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</si>
  <si>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</si>
  <si>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</si>
  <si>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</si>
  <si>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</si>
  <si>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</si>
  <si>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</si>
  <si>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</si>
  <si>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</si>
  <si>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</si>
  <si>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</si>
  <si>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</si>
  <si>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</si>
  <si>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</si>
  <si>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</si>
  <si>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</si>
  <si>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</si>
  <si>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</si>
  <si>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</si>
  <si>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</si>
  <si>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</si>
  <si>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</si>
  <si>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</si>
  <si>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</si>
  <si>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</si>
  <si>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</si>
  <si>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</si>
  <si>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</si>
  <si>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</si>
  <si>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</si>
  <si>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</si>
  <si>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</si>
  <si>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</si>
  <si>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</si>
  <si>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</si>
  <si>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</si>
  <si>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</si>
  <si>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</si>
  <si>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</si>
  <si>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</si>
  <si>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</si>
  <si>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</si>
  <si>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</si>
  <si>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</si>
  <si>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</si>
  <si>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</si>
  <si>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</si>
  <si>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</si>
  <si>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</si>
  <si>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</si>
  <si>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</si>
  <si>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</si>
  <si>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</si>
  <si>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</si>
  <si>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</si>
  <si>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</si>
  <si>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</si>
  <si>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</si>
  <si>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</si>
  <si>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</si>
  <si>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</si>
  <si>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</si>
  <si>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</si>
  <si>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</si>
  <si>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</si>
  <si>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</si>
  <si>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</si>
  <si>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</si>
  <si>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</si>
  <si>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</si>
  <si>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</si>
  <si>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</si>
  <si>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</si>
  <si>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</si>
  <si>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</si>
  <si>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</si>
  <si>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</si>
  <si>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</si>
  <si>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</si>
  <si>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</si>
  <si>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</si>
  <si>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</si>
  <si>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</si>
  <si>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</si>
  <si>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</si>
  <si>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</si>
  <si>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</si>
  <si>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</si>
  <si>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</si>
  <si>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</si>
  <si>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</si>
  <si>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</si>
  <si>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</si>
  <si>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</si>
  <si>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</si>
  <si>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</si>
  <si>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</si>
  <si>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</si>
  <si>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</si>
  <si>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</si>
  <si>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</si>
  <si>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</si>
  <si>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</si>
  <si>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</si>
  <si>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</si>
  <si>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</si>
  <si>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</si>
  <si>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</si>
  <si>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</si>
  <si>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</si>
  <si>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</si>
  <si>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</si>
  <si>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</si>
  <si>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</si>
  <si>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</si>
  <si>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</si>
  <si>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</si>
  <si>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</si>
  <si>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</si>
  <si>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</si>
  <si>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</si>
  <si>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</si>
  <si>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</si>
  <si>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</si>
  <si>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</si>
  <si>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</si>
  <si>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</si>
  <si>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</si>
  <si>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</si>
  <si>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</si>
  <si>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</si>
  <si>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</si>
  <si>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</si>
  <si>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</si>
  <si>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</si>
  <si>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</si>
  <si>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</si>
  <si>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</si>
  <si>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</si>
  <si>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</si>
  <si>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</si>
  <si>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</si>
  <si>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</si>
  <si>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</si>
  <si>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</si>
  <si>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</si>
  <si>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</si>
  <si>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</si>
  <si>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</si>
  <si>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</si>
  <si>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</si>
  <si>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</si>
  <si>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</si>
  <si>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</si>
  <si>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</si>
  <si>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</si>
  <si>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</si>
  <si>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</si>
  <si>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</si>
  <si>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</si>
  <si>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</si>
  <si>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</si>
  <si>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</si>
  <si>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</si>
  <si>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</si>
  <si>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</si>
  <si>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</si>
  <si>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</si>
  <si>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</si>
  <si>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</si>
  <si>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</si>
  <si>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</si>
  <si>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</si>
  <si>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</si>
  <si>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</si>
  <si>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</si>
  <si>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</si>
  <si>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</si>
  <si>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</si>
  <si>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</si>
  <si>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</si>
  <si>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</si>
  <si>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</si>
  <si>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</si>
  <si>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</si>
  <si>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</si>
  <si>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</si>
  <si>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</si>
  <si>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</si>
  <si>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</si>
  <si>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</si>
  <si>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</si>
  <si>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</si>
  <si>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</si>
  <si>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</si>
  <si>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</si>
  <si>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</si>
  <si>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</si>
  <si>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</si>
  <si>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</si>
  <si>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</si>
  <si>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</si>
  <si>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</si>
  <si>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</si>
  <si>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</si>
  <si>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</si>
  <si>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</si>
  <si>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</si>
  <si>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</si>
  <si>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</si>
  <si>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</si>
  <si>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</si>
  <si>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</si>
  <si>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</si>
  <si>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</si>
  <si>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</si>
  <si>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</si>
  <si>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</si>
  <si>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</si>
  <si>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</si>
  <si>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</si>
  <si>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</si>
  <si>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</si>
  <si>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</si>
  <si>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</si>
  <si>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</si>
  <si>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</si>
  <si>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</si>
  <si>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</si>
  <si>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</si>
  <si>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</si>
  <si>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</si>
  <si>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</si>
  <si>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</si>
  <si>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</si>
  <si>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</si>
  <si>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</si>
  <si>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</si>
  <si>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</si>
  <si>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</si>
  <si>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</si>
  <si>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</si>
  <si>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</si>
  <si>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</si>
  <si>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</si>
  <si>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</si>
  <si>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</si>
  <si>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</si>
  <si>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</si>
  <si>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</si>
  <si>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</si>
  <si>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</si>
  <si>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</si>
  <si>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</si>
  <si>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</si>
  <si>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</si>
  <si>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</si>
  <si>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</si>
  <si>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</si>
  <si>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</si>
  <si>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</si>
  <si>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</si>
  <si>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</si>
  <si>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</si>
  <si>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</si>
  <si>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</si>
  <si>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</si>
  <si>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</si>
  <si>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</si>
  <si>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</si>
  <si>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</si>
  <si>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</si>
  <si>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</si>
  <si>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</si>
  <si>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</si>
  <si>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</si>
  <si>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</si>
  <si>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</si>
  <si>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</si>
  <si>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</si>
  <si>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</si>
  <si>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</si>
  <si>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</si>
  <si>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</si>
  <si>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</si>
  <si>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</si>
  <si>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</si>
  <si>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</si>
  <si>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</si>
  <si>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</si>
  <si>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</si>
  <si>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</si>
  <si>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</si>
  <si>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</si>
  <si>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</si>
  <si>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</si>
  <si>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</si>
  <si>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</si>
  <si>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</si>
  <si>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</si>
  <si>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</si>
  <si>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</si>
  <si>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</si>
  <si>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</si>
  <si>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</si>
  <si>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</si>
  <si>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</si>
  <si>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</si>
  <si>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</si>
  <si>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</si>
  <si>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</si>
  <si>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</si>
  <si>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</si>
  <si>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</si>
  <si>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</si>
  <si>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</si>
  <si>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</si>
  <si>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</si>
  <si>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</si>
  <si>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</si>
  <si>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</si>
  <si>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</si>
  <si>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</si>
  <si>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</si>
  <si>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</si>
  <si>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</si>
  <si>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</si>
  <si>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</si>
  <si>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</si>
  <si>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</si>
  <si>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</si>
  <si>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</si>
  <si>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</si>
  <si>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</si>
  <si>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</si>
  <si>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</si>
  <si>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</si>
  <si>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</si>
  <si>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</si>
  <si>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</si>
  <si>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</si>
  <si>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</si>
  <si>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</si>
  <si>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</si>
  <si>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</si>
  <si>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</si>
  <si>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</si>
  <si>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</si>
  <si>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</si>
  <si>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</si>
  <si>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</si>
  <si>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</si>
  <si>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</si>
  <si>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</si>
  <si>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</si>
  <si>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</si>
  <si>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</si>
  <si>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</si>
  <si>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</si>
  <si>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</si>
  <si>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</si>
  <si>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</si>
  <si>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</si>
  <si>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</si>
  <si>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</si>
  <si>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</si>
  <si>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</si>
  <si>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</si>
  <si>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</si>
  <si>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</si>
  <si>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</si>
  <si>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</si>
  <si>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</si>
  <si>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</si>
  <si>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</si>
  <si>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</si>
  <si>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</si>
  <si>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</si>
  <si>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</si>
  <si>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</si>
  <si>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</si>
  <si>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</si>
  <si>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</si>
  <si>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</si>
  <si>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</si>
  <si>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</si>
  <si>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</si>
  <si>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</si>
  <si>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</si>
  <si>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</si>
  <si>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</si>
  <si>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</si>
  <si>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</si>
  <si>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</si>
  <si>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</si>
  <si>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</si>
  <si>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</si>
  <si>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</si>
  <si>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</si>
  <si>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</si>
  <si>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</si>
  <si>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</si>
  <si>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</si>
  <si>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</si>
  <si>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</si>
  <si>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</si>
  <si>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</si>
  <si>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</si>
  <si>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</si>
  <si>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</si>
  <si>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</si>
  <si>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</si>
  <si>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</si>
  <si>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</si>
  <si>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</si>
  <si>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</si>
  <si>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</si>
  <si>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</si>
  <si>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</si>
  <si>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</si>
  <si>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</si>
  <si>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</si>
  <si>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</si>
  <si>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</si>
  <si>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</si>
  <si>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</si>
  <si>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</si>
  <si>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</si>
  <si>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</si>
  <si>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</si>
  <si>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</si>
  <si>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</si>
  <si>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</si>
  <si>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</si>
  <si>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</si>
  <si>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</si>
  <si>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</si>
  <si>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</si>
  <si>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</si>
  <si>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</si>
  <si>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</si>
  <si>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</si>
  <si>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</si>
  <si>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</si>
  <si>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</si>
  <si>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</si>
  <si>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</si>
  <si>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</si>
  <si>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</si>
  <si>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</si>
  <si>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</si>
  <si>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</si>
  <si>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</si>
  <si>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</si>
  <si>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</si>
  <si>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</si>
  <si>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</si>
  <si>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</si>
  <si>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</si>
  <si>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</si>
  <si>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</si>
  <si>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</si>
  <si>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</si>
  <si>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</si>
  <si>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</si>
  <si>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</si>
  <si>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</si>
  <si>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</si>
  <si>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</si>
  <si>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</si>
  <si>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</si>
  <si>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</si>
  <si>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</si>
  <si>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</si>
  <si>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</si>
  <si>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</si>
  <si>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</si>
  <si>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</si>
  <si>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</si>
  <si>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</si>
  <si>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</si>
  <si>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</si>
  <si>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</si>
  <si>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</si>
  <si>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</si>
  <si>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</si>
  <si>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</si>
  <si>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</si>
  <si>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</si>
  <si>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</si>
  <si>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</si>
  <si>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</si>
  <si>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</si>
  <si>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</si>
  <si>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</si>
  <si>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</si>
  <si>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</si>
  <si>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</si>
  <si>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</si>
  <si>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</si>
  <si>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</si>
  <si>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</si>
  <si>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</si>
  <si>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</si>
  <si>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</si>
  <si>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</si>
  <si>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</si>
  <si>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</si>
  <si>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</si>
  <si>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</si>
  <si>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</si>
  <si>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</si>
  <si>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</si>
  <si>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</si>
  <si>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</si>
  <si>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</si>
  <si>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</si>
  <si>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</si>
  <si>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</si>
  <si>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</si>
  <si>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</si>
  <si>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</si>
  <si>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</si>
  <si>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</si>
  <si>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</si>
  <si>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</si>
  <si>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</si>
  <si>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</si>
  <si>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</si>
  <si>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</si>
  <si>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</si>
  <si>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</si>
  <si>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</si>
  <si>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</si>
  <si>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</si>
  <si>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</si>
  <si>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</si>
  <si>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</si>
  <si>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</si>
  <si>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</si>
  <si>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</si>
  <si>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</si>
  <si>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</si>
  <si>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</si>
  <si>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</si>
  <si>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</si>
  <si>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</si>
  <si>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</si>
  <si>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</si>
  <si>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</si>
  <si>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</si>
  <si>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</si>
  <si>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</si>
  <si>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</si>
  <si>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</si>
  <si>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</si>
  <si>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</si>
  <si>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</si>
  <si>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</si>
  <si>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</si>
  <si>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</si>
  <si>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</si>
  <si>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</si>
  <si>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</si>
  <si>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</si>
  <si>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</si>
  <si>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</si>
  <si>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</si>
  <si>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</si>
  <si>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</si>
  <si>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</si>
  <si>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</si>
  <si>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</si>
  <si>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</si>
  <si>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</si>
  <si>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</si>
  <si>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</si>
  <si>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</si>
  <si>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</si>
  <si>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</si>
  <si>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</si>
  <si>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</si>
  <si>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</si>
  <si>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</si>
  <si>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</si>
  <si>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</si>
  <si>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</si>
  <si>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</si>
  <si>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</si>
  <si>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</si>
  <si>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</si>
  <si>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</si>
  <si>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</si>
  <si>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</si>
  <si>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</si>
  <si>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</si>
  <si>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</si>
  <si>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</si>
  <si>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</si>
  <si>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</si>
  <si>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</si>
  <si>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</si>
  <si>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</si>
  <si>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</si>
  <si>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</si>
  <si>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</si>
  <si>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</si>
  <si>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</si>
  <si>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</si>
  <si>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</si>
  <si>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</si>
  <si>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</si>
  <si>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</si>
  <si>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</si>
  <si>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</si>
  <si>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</si>
  <si>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</si>
  <si>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</si>
  <si>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</si>
  <si>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</si>
  <si>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</si>
  <si>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</si>
  <si>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</si>
  <si>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</si>
  <si>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</si>
  <si>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</si>
  <si>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</si>
  <si>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</si>
  <si>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</si>
  <si>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</si>
  <si>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</si>
  <si>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</si>
  <si>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</si>
  <si>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</si>
  <si>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</si>
  <si>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</si>
  <si>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</si>
  <si>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</si>
  <si>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</si>
  <si>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</si>
  <si>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</si>
  <si>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</si>
  <si>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</si>
  <si>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</si>
  <si>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</si>
  <si>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</si>
  <si>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</si>
  <si>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</si>
  <si>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</si>
  <si>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</si>
  <si>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</si>
  <si>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</si>
  <si>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</si>
  <si>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</si>
  <si>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</si>
  <si>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</si>
  <si>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</si>
  <si>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</si>
  <si>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</si>
  <si>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</si>
  <si>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</si>
  <si>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</si>
  <si>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</si>
  <si>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</si>
  <si>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</si>
  <si>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</si>
  <si>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</si>
  <si>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</si>
  <si>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</si>
  <si>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</si>
  <si>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</si>
  <si>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</si>
  <si>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</si>
  <si>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</si>
  <si>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</si>
  <si>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</si>
  <si>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</si>
  <si>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</si>
  <si>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</si>
  <si>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</si>
  <si>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</si>
  <si>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</si>
  <si>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</si>
  <si>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</si>
  <si>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</si>
  <si>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</si>
  <si>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</si>
  <si>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</si>
  <si>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</si>
  <si>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</si>
  <si>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</si>
  <si>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</si>
  <si>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</si>
  <si>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</si>
  <si>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</si>
  <si>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</si>
  <si>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</si>
  <si>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</si>
  <si>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</si>
  <si>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</si>
  <si>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</si>
  <si>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</si>
  <si>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</si>
  <si>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</si>
  <si>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</si>
  <si>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</si>
  <si>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</si>
  <si>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</si>
  <si>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</si>
  <si>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</si>
  <si>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</si>
  <si>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</si>
  <si>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</si>
  <si>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</si>
  <si>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</si>
  <si>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</si>
  <si>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</si>
  <si>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</si>
  <si>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</si>
  <si>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</si>
  <si>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</si>
  <si>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</si>
  <si>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</si>
  <si>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</si>
  <si>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</si>
  <si>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</si>
  <si>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</si>
  <si>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</si>
  <si>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</si>
  <si>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</si>
  <si>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</si>
  <si>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</si>
  <si>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</si>
  <si>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</si>
  <si>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</si>
  <si>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</si>
  <si>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</si>
  <si>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</si>
  <si>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</si>
  <si>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</si>
  <si>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</si>
  <si>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</si>
  <si>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</si>
  <si>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</si>
  <si>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</si>
  <si>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</si>
  <si>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</si>
  <si>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</si>
  <si>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</si>
  <si>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</si>
  <si>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</si>
  <si>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</si>
  <si>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</si>
  <si>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</si>
  <si>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</si>
  <si>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</si>
  <si>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</si>
  <si>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</si>
  <si>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</si>
  <si>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</si>
  <si>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</si>
  <si>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</si>
  <si>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</si>
  <si>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</si>
  <si>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</si>
  <si>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</si>
  <si>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</si>
  <si>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</si>
  <si>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</si>
  <si>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</si>
  <si>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</si>
  <si>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</si>
  <si>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</si>
  <si>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</si>
  <si>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</si>
  <si>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</si>
  <si>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</si>
  <si>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</si>
  <si>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</si>
  <si>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</si>
  <si>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</si>
  <si>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</si>
  <si>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</si>
  <si>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</si>
  <si>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</si>
  <si>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</si>
  <si>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</si>
  <si>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</si>
  <si>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</si>
  <si>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</si>
  <si>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</si>
  <si>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</si>
  <si>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</si>
  <si>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</si>
  <si>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</si>
  <si>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</si>
  <si>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</si>
  <si>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</si>
  <si>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</si>
  <si>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</si>
  <si>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</si>
  <si>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</si>
  <si>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</si>
  <si>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</si>
  <si>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</si>
  <si>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</si>
  <si>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</si>
  <si>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</si>
  <si>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</si>
  <si>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</si>
  <si>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</si>
  <si>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</si>
  <si>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</si>
  <si>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</si>
  <si>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</si>
  <si>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</si>
  <si>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</si>
  <si>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</si>
  <si>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</si>
  <si>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</si>
  <si>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</si>
  <si>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</si>
  <si>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</si>
  <si>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</si>
  <si>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</si>
  <si>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</si>
  <si>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</si>
  <si>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</si>
  <si>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</si>
  <si>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</si>
  <si>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</si>
  <si>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</si>
  <si>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</si>
  <si>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</si>
  <si>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</si>
  <si>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</si>
  <si>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</si>
  <si>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</si>
  <si>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</si>
  <si>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</si>
  <si>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</si>
  <si>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</si>
  <si>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</si>
  <si>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</si>
  <si>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</si>
  <si>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</si>
  <si>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</si>
  <si>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</si>
  <si>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</si>
  <si>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</si>
  <si>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</si>
  <si>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</si>
  <si>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</si>
  <si>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</si>
  <si>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</si>
  <si>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</si>
  <si>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</si>
  <si>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</si>
  <si>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</si>
  <si>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</si>
  <si>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</si>
  <si>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</si>
  <si>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</si>
  <si>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</si>
  <si>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</si>
  <si>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</si>
  <si>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</si>
  <si>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</si>
  <si>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</si>
  <si>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</si>
  <si>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</si>
  <si>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</si>
  <si>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</si>
  <si>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</si>
  <si>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</si>
  <si>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</si>
  <si>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</si>
  <si>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</si>
  <si>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</si>
  <si>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</si>
  <si>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</si>
  <si>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</si>
  <si>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</si>
  <si>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</si>
  <si>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</si>
  <si>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</si>
  <si>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</si>
  <si>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</si>
  <si>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</si>
  <si>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</si>
  <si>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</si>
  <si>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</si>
  <si>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</si>
  <si>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</si>
  <si>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</si>
  <si>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</si>
  <si>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</si>
  <si>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</si>
  <si>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</si>
  <si>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</si>
  <si>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</si>
  <si>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</si>
  <si>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</si>
  <si>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</si>
  <si>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</si>
  <si>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</si>
  <si>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</si>
  <si>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</si>
  <si>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</si>
  <si>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</si>
  <si>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</si>
  <si>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</si>
  <si>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</si>
  <si>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</si>
  <si>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</si>
  <si>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</si>
  <si>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</si>
  <si>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</si>
  <si>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</si>
  <si>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</si>
  <si>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</si>
  <si>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</si>
  <si>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</si>
  <si>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</si>
  <si>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</si>
  <si>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</si>
  <si>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</si>
  <si>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</si>
  <si>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</si>
  <si>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</si>
  <si>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</si>
  <si>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</si>
  <si>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</si>
  <si>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</si>
  <si>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</si>
  <si>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</si>
  <si>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</si>
  <si>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</si>
  <si>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</si>
  <si>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</si>
  <si>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</si>
  <si>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</si>
  <si>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</si>
  <si>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</si>
  <si>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</si>
  <si>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</si>
  <si>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</si>
  <si>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</si>
  <si>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</si>
  <si>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</si>
  <si>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</si>
  <si>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</si>
  <si>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</si>
  <si>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</si>
  <si>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</si>
  <si>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</si>
  <si>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</si>
  <si>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</si>
  <si>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</si>
  <si>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</si>
  <si>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</si>
  <si>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</si>
  <si>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</si>
  <si>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</si>
  <si>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</si>
  <si>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</si>
  <si>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</si>
  <si>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</si>
  <si>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</si>
  <si>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</si>
  <si>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</si>
  <si>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</si>
  <si>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</si>
  <si>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</si>
  <si>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</si>
  <si>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</si>
  <si>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</si>
  <si>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</si>
  <si>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</si>
  <si>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</si>
  <si>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</si>
  <si>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</si>
  <si>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</si>
  <si>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</si>
  <si>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</si>
  <si>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</si>
  <si>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</si>
  <si>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</si>
  <si>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</si>
  <si>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</si>
  <si>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</si>
  <si>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</si>
  <si>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</si>
  <si>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</si>
  <si>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</si>
  <si>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</si>
  <si>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</si>
  <si>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</si>
  <si>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</si>
  <si>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</si>
  <si>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</si>
  <si>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</si>
  <si>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</si>
  <si>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</si>
  <si>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</si>
  <si>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</si>
  <si>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</si>
  <si>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</si>
  <si>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</si>
  <si>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</si>
  <si>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</si>
  <si>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</si>
  <si>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</si>
  <si>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</si>
  <si>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</si>
  <si>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</si>
  <si>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</si>
  <si>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</si>
  <si>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</si>
  <si>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</si>
  <si>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</si>
  <si>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</si>
  <si>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</si>
  <si>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</si>
  <si>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</si>
  <si>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</si>
  <si>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</si>
  <si>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</si>
  <si>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</si>
  <si>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</si>
  <si>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</si>
  <si>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</si>
  <si>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</si>
  <si>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</si>
  <si>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</si>
  <si>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</si>
  <si>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</si>
  <si>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</si>
  <si>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</si>
  <si>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</si>
  <si>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</si>
  <si>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</si>
  <si>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</si>
  <si>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</si>
  <si>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</si>
  <si>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</si>
  <si>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</si>
  <si>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</si>
  <si>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</si>
  <si>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</si>
  <si>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</si>
  <si>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</si>
  <si>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</si>
  <si>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</si>
  <si>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</si>
  <si>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</si>
  <si>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</si>
  <si>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</si>
  <si>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</si>
  <si>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</si>
  <si>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</si>
  <si>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</si>
  <si>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</si>
  <si>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</si>
  <si>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</si>
  <si>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</si>
  <si>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</si>
  <si>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</si>
  <si>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</si>
  <si>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</si>
  <si>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</si>
  <si>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</si>
  <si>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</si>
  <si>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</si>
  <si>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</si>
  <si>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</si>
  <si>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</si>
  <si>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</si>
  <si>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</si>
  <si>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</si>
  <si>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</si>
  <si>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</si>
  <si>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</si>
  <si>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</si>
  <si>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</si>
  <si>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</si>
  <si>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</si>
  <si>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</si>
  <si>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</si>
  <si>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</si>
  <si>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</si>
  <si>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</si>
  <si>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</si>
  <si>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</si>
  <si>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</si>
  <si>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</si>
  <si>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</si>
  <si>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</si>
  <si>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</si>
  <si>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</si>
  <si>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</si>
  <si>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</si>
  <si>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</si>
  <si>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</si>
  <si>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</si>
  <si>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</si>
  <si>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</si>
  <si>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</si>
  <si>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</si>
  <si>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</si>
  <si>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</si>
  <si>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</si>
  <si>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</si>
  <si>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</si>
  <si>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</si>
  <si>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</si>
  <si>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</si>
  <si>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</si>
  <si>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</si>
  <si>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</si>
  <si>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</si>
  <si>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</si>
  <si>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</si>
  <si>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</si>
  <si>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</si>
  <si>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</si>
  <si>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</si>
  <si>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</si>
  <si>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</si>
  <si>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</si>
  <si>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</si>
  <si>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</si>
  <si>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</si>
  <si>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</si>
  <si>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</si>
  <si>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</si>
  <si>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</si>
  <si>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</si>
  <si>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</si>
  <si>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</si>
  <si>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</si>
  <si>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</si>
  <si>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</si>
  <si>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</si>
  <si>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</si>
  <si>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</si>
  <si>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</si>
  <si>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</si>
  <si>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</si>
  <si>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</si>
  <si>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</si>
  <si>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</si>
  <si>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</si>
  <si>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</si>
  <si>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</si>
  <si>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</si>
  <si>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</si>
  <si>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</si>
  <si>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</si>
  <si>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</si>
  <si>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</si>
  <si>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</si>
  <si>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</si>
  <si>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</si>
  <si>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</si>
  <si>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</si>
  <si>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</si>
  <si>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</si>
  <si>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</si>
  <si>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</si>
  <si>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</si>
  <si>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</si>
  <si>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</si>
  <si>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</si>
  <si>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</si>
  <si>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</si>
  <si>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</si>
  <si>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</si>
  <si>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</si>
  <si>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</si>
  <si>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</si>
  <si>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</si>
  <si>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</si>
  <si>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</si>
  <si>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</si>
  <si>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</si>
  <si>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</si>
  <si>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</si>
  <si>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</si>
  <si>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</si>
  <si>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</si>
  <si>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</si>
  <si>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</si>
  <si>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</si>
  <si>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</si>
  <si>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</si>
  <si>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</si>
  <si>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</si>
  <si>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</si>
  <si>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</si>
  <si>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</si>
  <si>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</si>
  <si>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</si>
  <si>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</si>
  <si>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</si>
  <si>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</si>
  <si>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</si>
  <si>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</si>
  <si>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</si>
  <si>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</si>
  <si>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</si>
  <si>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</si>
  <si>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</si>
  <si>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</si>
  <si>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</si>
  <si>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</si>
  <si>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</si>
  <si>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</si>
  <si>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</si>
  <si>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</si>
  <si>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</si>
  <si>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</si>
  <si>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</si>
  <si>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</si>
  <si>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</si>
  <si>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</si>
  <si>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</si>
  <si>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</si>
  <si>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</si>
  <si>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</si>
  <si>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</si>
  <si>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</si>
  <si>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</si>
  <si>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</si>
  <si>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</si>
  <si>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</si>
  <si>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</si>
  <si>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</si>
  <si>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</si>
  <si>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</si>
  <si>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</si>
  <si>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</si>
  <si>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</si>
  <si>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</si>
  <si>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</si>
  <si>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</si>
  <si>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</si>
  <si>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</si>
  <si>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</si>
  <si>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</si>
  <si>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</si>
  <si>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</si>
  <si>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</si>
  <si>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</si>
  <si>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</si>
  <si>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</si>
  <si>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</si>
  <si>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</si>
  <si>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</si>
  <si>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</si>
  <si>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</si>
  <si>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</si>
  <si>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</si>
  <si>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</si>
  <si>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</si>
  <si>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</si>
  <si>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</si>
  <si>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</si>
  <si>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</si>
  <si>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</si>
  <si>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</si>
  <si>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</si>
  <si>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</si>
  <si>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</si>
  <si>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</si>
  <si>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</si>
  <si>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</si>
  <si>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</si>
  <si>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</si>
  <si>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</si>
  <si>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</si>
  <si>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</si>
  <si>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</si>
  <si>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</si>
  <si>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</si>
  <si>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</si>
  <si>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</si>
  <si>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</si>
  <si>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</si>
  <si>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</si>
  <si>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</si>
  <si>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</si>
  <si>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</si>
  <si>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</si>
  <si>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</si>
  <si>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</si>
  <si>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</si>
  <si>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</si>
  <si>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</si>
  <si>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</si>
  <si>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</si>
  <si>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</si>
  <si>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</si>
  <si>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</si>
  <si>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</si>
  <si>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</si>
  <si>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</si>
  <si>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</si>
  <si>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</si>
  <si>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</si>
  <si>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</si>
  <si>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</si>
  <si>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</si>
  <si>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</si>
  <si>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</si>
  <si>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</si>
  <si>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</si>
  <si>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</si>
  <si>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</si>
  <si>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</si>
  <si>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</si>
  <si>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</si>
  <si>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</si>
  <si>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</si>
  <si>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</si>
  <si>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</si>
  <si>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</si>
  <si>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</si>
  <si>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</si>
  <si>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</si>
  <si>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</si>
  <si>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</si>
  <si>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</si>
  <si>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</si>
  <si>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</si>
  <si>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</si>
  <si>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</si>
  <si>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</si>
  <si>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</si>
  <si>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</si>
  <si>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</si>
  <si>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</si>
  <si>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</si>
  <si>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</si>
  <si>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</si>
  <si>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</si>
  <si>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</si>
  <si>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</si>
  <si>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</si>
  <si>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</si>
  <si>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</si>
  <si>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</si>
  <si>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</si>
  <si>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</si>
  <si>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</si>
  <si>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</si>
  <si>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</si>
  <si>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</si>
  <si>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</si>
  <si>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</si>
  <si>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</si>
  <si>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</si>
  <si>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</si>
  <si>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</si>
  <si>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</si>
  <si>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</si>
  <si>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</si>
  <si>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</si>
  <si>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</si>
  <si>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</si>
  <si>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</si>
  <si>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</si>
  <si>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</si>
  <si>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</si>
  <si>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</si>
  <si>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</si>
  <si>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</si>
  <si>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</si>
  <si>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</si>
  <si>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</si>
  <si>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</si>
  <si>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</si>
  <si>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</si>
  <si>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</si>
  <si>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</si>
  <si>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</si>
  <si>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</si>
  <si>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</si>
  <si>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</si>
  <si>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</si>
  <si>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</si>
  <si>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</si>
  <si>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</si>
  <si>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</si>
  <si>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</si>
  <si>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</si>
  <si>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</si>
  <si>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</si>
  <si>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</si>
  <si>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</si>
  <si>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</si>
  <si>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</si>
  <si>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</si>
  <si>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</si>
  <si>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</si>
  <si>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</si>
  <si>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</si>
  <si>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</si>
  <si>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</si>
  <si>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</si>
  <si>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</si>
  <si>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</si>
  <si>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</si>
  <si>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</si>
  <si>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</si>
  <si>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</si>
  <si>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</si>
  <si>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</si>
  <si>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</si>
  <si>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</si>
  <si>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</si>
  <si>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</si>
  <si>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</si>
  <si>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</si>
  <si>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</si>
  <si>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</si>
  <si>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</si>
  <si>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</si>
  <si>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</si>
  <si>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</si>
  <si>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</si>
  <si>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</si>
  <si>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</si>
  <si>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</si>
  <si>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</si>
  <si>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</si>
  <si>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</si>
  <si>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</si>
  <si>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</si>
  <si>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</si>
  <si>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</si>
  <si>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</si>
  <si>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</si>
  <si>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</si>
  <si>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</si>
  <si>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</si>
  <si>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</si>
  <si>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</si>
  <si>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</si>
  <si>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</si>
  <si>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</si>
  <si>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</si>
  <si>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</si>
  <si>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</si>
  <si>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</si>
  <si>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</si>
  <si>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</si>
  <si>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</si>
  <si>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</si>
  <si>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</si>
  <si>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</si>
  <si>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</si>
  <si>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</si>
  <si>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</si>
  <si>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</si>
  <si>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</si>
  <si>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</si>
  <si>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</si>
  <si>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</si>
  <si>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</si>
  <si>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</si>
  <si>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</si>
  <si>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</si>
  <si>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</si>
  <si>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</si>
  <si>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</si>
  <si>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</si>
  <si>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</si>
  <si>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</si>
  <si>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</si>
  <si>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</si>
  <si>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</si>
  <si>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</si>
  <si>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</si>
  <si>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</si>
  <si>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</si>
  <si>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</si>
  <si>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</si>
  <si>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</si>
  <si>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</si>
  <si>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</si>
  <si>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</si>
  <si>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</si>
  <si>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</si>
  <si>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</si>
  <si>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</si>
  <si>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</si>
  <si>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</si>
  <si>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</si>
  <si>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</si>
  <si>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</si>
  <si>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</si>
  <si>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</si>
  <si>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</si>
  <si>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</si>
  <si>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</si>
  <si>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</si>
  <si>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</si>
  <si>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</si>
  <si>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</si>
  <si>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</si>
  <si>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</si>
  <si>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</si>
  <si>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</si>
  <si>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</si>
  <si>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</si>
  <si>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</si>
  <si>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</si>
  <si>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</si>
  <si>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</si>
  <si>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</si>
  <si>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</si>
  <si>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</si>
  <si>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</si>
  <si>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</si>
  <si>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</si>
  <si>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</si>
  <si>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</si>
  <si>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</si>
  <si>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</si>
  <si>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</si>
  <si>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</si>
  <si>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</si>
  <si>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</si>
  <si>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</si>
  <si>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</si>
  <si>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</si>
  <si>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</si>
  <si>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</si>
  <si>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</si>
  <si>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</si>
  <si>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</si>
  <si>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</si>
  <si>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</si>
  <si>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</si>
  <si>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</si>
  <si>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</si>
  <si>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</si>
  <si>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</si>
  <si>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</si>
  <si>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</si>
  <si>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</si>
  <si>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</si>
  <si>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</si>
  <si>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</si>
  <si>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</si>
  <si>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</si>
  <si>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</si>
  <si>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</si>
  <si>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</si>
  <si>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</si>
  <si>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</si>
  <si>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</si>
  <si>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</si>
  <si>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</si>
  <si>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</si>
  <si>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</si>
  <si>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</si>
  <si>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</si>
  <si>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</si>
  <si>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</si>
  <si>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</si>
  <si>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</si>
  <si>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</si>
  <si>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</si>
  <si>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</si>
  <si>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</si>
  <si>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</si>
  <si>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</si>
  <si>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</si>
  <si>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</si>
  <si>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</si>
  <si>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</si>
  <si>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</si>
  <si>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</si>
  <si>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</si>
  <si>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</si>
  <si>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</si>
  <si>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</si>
  <si>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</si>
  <si>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</si>
  <si>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</si>
  <si>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</si>
  <si>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</si>
  <si>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</si>
  <si>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</si>
  <si>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</si>
  <si>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</si>
  <si>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</si>
  <si>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</si>
  <si>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</si>
  <si>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</si>
  <si>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</si>
  <si>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</si>
  <si>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</si>
  <si>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</si>
  <si>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</si>
  <si>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</si>
  <si>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</si>
  <si>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</si>
  <si>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</si>
  <si>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</si>
  <si>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</si>
  <si>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</si>
  <si>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</si>
  <si>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</si>
  <si>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</si>
  <si>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</si>
  <si>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</si>
  <si>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</si>
  <si>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</si>
  <si>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</si>
  <si>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</si>
  <si>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</si>
  <si>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</si>
  <si>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</si>
  <si>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</si>
  <si>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</si>
  <si>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</si>
  <si>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</si>
  <si>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</si>
  <si>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</si>
  <si>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</si>
  <si>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</si>
  <si>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</si>
  <si>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</si>
  <si>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</si>
  <si>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</si>
  <si>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</si>
  <si>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</si>
  <si>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</si>
  <si>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</si>
  <si>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</si>
  <si>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</si>
  <si>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</si>
  <si>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</si>
  <si>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</si>
  <si>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</si>
  <si>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</si>
  <si>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</si>
  <si>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</si>
  <si>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</si>
  <si>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</si>
  <si>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</si>
  <si>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</si>
  <si>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</si>
  <si>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</si>
  <si>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</si>
  <si>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</si>
  <si>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</si>
  <si>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</si>
  <si>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</si>
  <si>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</si>
  <si>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</si>
  <si>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</si>
  <si>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</si>
  <si>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</si>
  <si>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</si>
  <si>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</si>
  <si>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</si>
  <si>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</si>
  <si>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</si>
  <si>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</si>
  <si>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</si>
  <si>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</si>
  <si>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</si>
  <si>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</si>
  <si>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</si>
  <si>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</si>
  <si>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</si>
  <si>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</si>
  <si>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</si>
  <si>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</si>
  <si>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</si>
  <si>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</si>
  <si>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</si>
  <si>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</si>
  <si>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</si>
  <si>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</si>
  <si>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</si>
  <si>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</si>
  <si>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</si>
  <si>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</si>
  <si>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</si>
  <si>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</si>
  <si>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</si>
  <si>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</si>
  <si>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</si>
  <si>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</si>
  <si>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</si>
  <si>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</si>
  <si>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</si>
  <si>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</si>
  <si>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</si>
  <si>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</si>
  <si>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</si>
  <si>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</si>
  <si>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</si>
  <si>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</si>
  <si>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</si>
  <si>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</si>
  <si>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</si>
  <si>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</si>
  <si>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</si>
  <si>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</si>
  <si>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</si>
  <si>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</si>
  <si>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</si>
  <si>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</si>
  <si>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</si>
  <si>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</si>
  <si>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</si>
  <si>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</si>
  <si>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</si>
  <si>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</si>
  <si>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</si>
  <si>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</si>
  <si>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</si>
  <si>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</si>
  <si>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</si>
  <si>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</si>
  <si>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</si>
  <si>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</si>
  <si>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</si>
  <si>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</si>
  <si>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</si>
  <si>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</si>
  <si>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</si>
  <si>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</si>
  <si>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</si>
  <si>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</si>
  <si>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</si>
  <si>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</si>
  <si>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</si>
  <si>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</si>
  <si>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</si>
  <si>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</si>
  <si>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</si>
  <si>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</si>
  <si>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</si>
  <si>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</si>
  <si>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</si>
  <si>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</si>
  <si>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</si>
  <si>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</si>
  <si>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</si>
  <si>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</si>
  <si>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</si>
  <si>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</si>
  <si>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</si>
  <si>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</si>
  <si>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</si>
  <si>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</si>
  <si>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</si>
  <si>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</si>
  <si>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</si>
  <si>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</si>
  <si>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</si>
  <si>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</si>
  <si>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</si>
  <si>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</si>
  <si>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</si>
  <si>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</si>
  <si>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</si>
  <si>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</si>
  <si>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</si>
  <si>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</si>
  <si>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</si>
  <si>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</si>
  <si>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</si>
  <si>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</si>
  <si>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</si>
  <si>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</si>
  <si>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</si>
  <si>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</si>
  <si>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</si>
  <si>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</si>
  <si>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</si>
  <si>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</si>
  <si>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</si>
  <si>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</si>
  <si>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</si>
  <si>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</si>
  <si>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</si>
  <si>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</si>
  <si>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</si>
  <si>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</si>
  <si>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</si>
  <si>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</si>
  <si>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</si>
  <si>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</si>
  <si>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</si>
  <si>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</si>
  <si>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</si>
  <si>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</si>
  <si>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</si>
  <si>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</si>
  <si>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</si>
  <si>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</si>
  <si>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</si>
  <si>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</si>
  <si>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</si>
  <si>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</si>
  <si>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</si>
  <si>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</si>
  <si>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</si>
  <si>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</si>
  <si>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</si>
  <si>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</si>
  <si>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</si>
  <si>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</si>
  <si>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</si>
  <si>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</si>
  <si>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</si>
  <si>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</si>
  <si>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</si>
  <si>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</si>
  <si>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</si>
  <si>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</si>
  <si>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</si>
  <si>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</si>
  <si>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</si>
  <si>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</si>
  <si>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</si>
  <si>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</si>
  <si>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</si>
  <si>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</si>
  <si>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</si>
  <si>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</si>
  <si>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</si>
  <si>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</si>
  <si>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</si>
  <si>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</si>
  <si>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</si>
  <si>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</si>
  <si>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</si>
  <si>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</si>
  <si>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</si>
  <si>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</si>
  <si>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</si>
  <si>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</si>
  <si>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</si>
  <si>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</si>
  <si>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</si>
  <si>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</si>
  <si>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</si>
  <si>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</si>
  <si>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</si>
  <si>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</si>
  <si>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</si>
  <si>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</si>
  <si>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</si>
  <si>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</si>
  <si>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</si>
  <si>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</si>
  <si>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</si>
  <si>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</si>
  <si>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</si>
  <si>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</si>
  <si>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</si>
  <si>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</si>
  <si>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</si>
  <si>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</si>
  <si>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</si>
  <si>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</si>
  <si>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</si>
  <si>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</si>
  <si>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</si>
  <si>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</si>
  <si>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</si>
  <si>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</si>
  <si>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</si>
  <si>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</si>
  <si>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</si>
  <si>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</si>
  <si>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</si>
  <si>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</si>
  <si>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</si>
  <si>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</si>
  <si>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</si>
  <si>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</si>
  <si>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</si>
  <si>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</si>
  <si>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</si>
  <si>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</si>
  <si>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</si>
  <si>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</si>
  <si>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</si>
  <si>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</si>
  <si>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</si>
  <si>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</si>
  <si>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</si>
  <si>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</si>
  <si>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</si>
  <si>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</si>
  <si>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</si>
  <si>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</si>
  <si>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</si>
  <si>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</si>
  <si>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</si>
  <si>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</si>
  <si>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</si>
  <si>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</si>
  <si>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</si>
  <si>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</si>
  <si>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</si>
  <si>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</si>
  <si>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</si>
  <si>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</si>
  <si>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</si>
  <si>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</si>
  <si>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</si>
  <si>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</si>
  <si>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</si>
  <si>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</si>
  <si>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</si>
  <si>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</si>
  <si>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</si>
  <si>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</si>
  <si>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</si>
  <si>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</si>
  <si>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</si>
  <si>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</si>
  <si>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</si>
  <si>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</si>
  <si>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</si>
  <si>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</si>
  <si>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</si>
  <si>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</si>
  <si>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</si>
  <si>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</si>
  <si>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</si>
  <si>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</si>
  <si>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</si>
  <si>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</si>
  <si>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</si>
  <si>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</si>
  <si>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</si>
  <si>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</si>
  <si>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</si>
  <si>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</si>
  <si>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</si>
  <si>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</si>
  <si>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</si>
  <si>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</si>
  <si>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</si>
  <si>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</si>
  <si>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</si>
  <si>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</si>
  <si>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</si>
  <si>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</si>
  <si>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</si>
  <si>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</si>
  <si>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</si>
  <si>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</si>
  <si>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</si>
  <si>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</si>
  <si>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</si>
  <si>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</si>
  <si>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</si>
  <si>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</si>
  <si>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</si>
  <si>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</si>
  <si>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</si>
  <si>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</si>
  <si>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</si>
  <si>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</si>
  <si>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</si>
  <si>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</si>
  <si>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</si>
  <si>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</si>
  <si>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</si>
  <si>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</si>
  <si>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</si>
  <si>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</si>
  <si>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</si>
  <si>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</si>
  <si>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</si>
  <si>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</si>
  <si>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</si>
  <si>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</si>
  <si>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</si>
  <si>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</si>
  <si>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</si>
  <si>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</si>
  <si>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</si>
  <si>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</si>
  <si>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</si>
  <si>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</si>
  <si>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</si>
  <si>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</si>
  <si>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</si>
  <si>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</si>
  <si>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</si>
  <si>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</si>
  <si>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</si>
  <si>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</si>
  <si>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</si>
  <si>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</si>
  <si>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</si>
  <si>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</si>
  <si>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</si>
  <si>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</si>
  <si>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</si>
  <si>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</si>
  <si>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</si>
  <si>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</si>
  <si>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</si>
  <si>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</si>
  <si>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</si>
  <si>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</si>
  <si>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</si>
  <si>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</si>
  <si>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</si>
  <si>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</si>
  <si>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</si>
  <si>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</si>
  <si>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</si>
  <si>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</si>
  <si>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</si>
  <si>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</si>
  <si>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</si>
  <si>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</si>
  <si>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</si>
  <si>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</si>
  <si>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</si>
  <si>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</si>
  <si>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</si>
  <si>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</si>
  <si>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</si>
  <si>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</si>
  <si>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</si>
  <si>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</si>
  <si>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</si>
  <si>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</si>
  <si>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</si>
  <si>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</si>
  <si>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</si>
  <si>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</si>
  <si>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</si>
  <si>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</si>
  <si>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</si>
  <si>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</si>
  <si>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</si>
  <si>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</si>
  <si>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</si>
  <si>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</si>
  <si>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</si>
  <si>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</si>
  <si>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</si>
  <si>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</si>
  <si>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</si>
  <si>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</si>
  <si>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</si>
  <si>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</si>
  <si>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</si>
  <si>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</si>
  <si>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</si>
  <si>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</si>
  <si>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</si>
  <si>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</si>
  <si>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</si>
  <si>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</si>
  <si>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</si>
  <si>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</si>
  <si>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</si>
  <si>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</si>
  <si>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</si>
  <si>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</si>
  <si>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</si>
  <si>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</si>
  <si>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</si>
  <si>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</si>
  <si>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</si>
  <si>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</si>
  <si>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</si>
  <si>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</si>
  <si>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</si>
  <si>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</si>
  <si>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</si>
  <si>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</si>
  <si>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</si>
  <si>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</si>
  <si>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</si>
  <si>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</si>
  <si>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</si>
  <si>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</si>
  <si>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</si>
  <si>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</si>
  <si>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</si>
  <si>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</si>
  <si>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</si>
  <si>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</si>
  <si>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</si>
  <si>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</si>
  <si>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</si>
  <si>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</si>
  <si>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</si>
  <si>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</si>
  <si>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</si>
  <si>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</si>
  <si>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</si>
  <si>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</si>
  <si>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</si>
  <si>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</si>
  <si>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</si>
  <si>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</si>
  <si>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</si>
  <si>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</si>
  <si>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</si>
  <si>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</si>
  <si>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</si>
  <si>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</si>
  <si>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</si>
  <si>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</si>
  <si>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</si>
  <si>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</si>
  <si>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</si>
  <si>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</si>
  <si>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</si>
  <si>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</si>
  <si>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</si>
  <si>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</si>
  <si>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</si>
  <si>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</si>
  <si>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</si>
  <si>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</si>
  <si>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</si>
  <si>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</si>
  <si>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</si>
  <si>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</si>
  <si>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</si>
  <si>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</si>
  <si>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</si>
  <si>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</si>
  <si>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</si>
  <si>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</si>
  <si>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</si>
  <si>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</si>
  <si>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</si>
  <si>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</si>
  <si>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</si>
  <si>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</si>
  <si>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</si>
  <si>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</si>
  <si>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</si>
  <si>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</si>
  <si>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</si>
  <si>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</si>
  <si>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</si>
  <si>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</si>
  <si>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</si>
  <si>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</si>
  <si>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</si>
  <si>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</si>
  <si>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</si>
  <si>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</si>
  <si>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</si>
  <si>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</si>
  <si>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</si>
  <si>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</si>
  <si>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</si>
  <si>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</si>
  <si>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</si>
  <si>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</si>
  <si>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</si>
  <si>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</si>
  <si>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</si>
  <si>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</si>
  <si>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</si>
  <si>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</si>
  <si>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</si>
  <si>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</si>
  <si>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</si>
  <si>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</si>
  <si>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</si>
  <si>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</si>
  <si>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</si>
  <si>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</si>
  <si>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</si>
  <si>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</si>
  <si>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</si>
  <si>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</si>
  <si>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</si>
  <si>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</si>
  <si>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</si>
  <si>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</si>
  <si>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</si>
  <si>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</si>
  <si>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</si>
  <si>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</si>
  <si>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</si>
  <si>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</si>
  <si>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</si>
  <si>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</si>
  <si>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</si>
  <si>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</si>
  <si>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</si>
  <si>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</si>
  <si>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</si>
  <si>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</si>
  <si>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</si>
  <si>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</si>
  <si>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</si>
  <si>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</si>
  <si>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</si>
  <si>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</si>
  <si>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</si>
  <si>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</si>
  <si>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</si>
  <si>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</si>
  <si>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</si>
  <si>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</si>
  <si>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</si>
  <si>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</si>
  <si>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</si>
  <si>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</si>
  <si>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</si>
  <si>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</si>
  <si>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</si>
  <si>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</si>
  <si>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</si>
  <si>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</si>
  <si>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</si>
  <si>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</si>
  <si>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</si>
  <si>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</si>
  <si>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</si>
  <si>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</si>
  <si>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</si>
  <si>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</si>
  <si>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</si>
  <si>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</si>
  <si>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</si>
  <si>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</si>
  <si>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</si>
  <si>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</si>
  <si>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</si>
  <si>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</si>
  <si>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</si>
  <si>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</si>
  <si>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</si>
  <si>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</si>
  <si>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</si>
  <si>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</si>
  <si>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</si>
  <si>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</si>
  <si>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</si>
  <si>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</si>
  <si>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</si>
  <si>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</si>
  <si>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</si>
  <si>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</si>
  <si>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</si>
  <si>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</si>
  <si>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</si>
  <si>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</si>
  <si>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</si>
  <si>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</si>
  <si>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</si>
  <si>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</si>
  <si>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</si>
  <si>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</si>
  <si>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</si>
  <si>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</si>
  <si>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</si>
  <si>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</si>
  <si>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</si>
  <si>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</si>
  <si>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</si>
  <si>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</si>
  <si>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</si>
  <si>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</si>
  <si>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</si>
  <si>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</si>
  <si>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</si>
  <si>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</si>
  <si>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</si>
  <si>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</si>
  <si>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</si>
  <si>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</si>
  <si>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</si>
  <si>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</si>
  <si>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</si>
  <si>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</si>
  <si>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</si>
  <si>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</si>
  <si>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</si>
  <si>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</si>
  <si>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</si>
  <si>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</si>
  <si>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</si>
  <si>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</si>
  <si>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</si>
  <si>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</si>
  <si>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</si>
  <si>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</si>
  <si>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</si>
  <si>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</si>
  <si>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</si>
  <si>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</si>
  <si>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</si>
  <si>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</si>
  <si>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</si>
  <si>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</si>
  <si>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</si>
  <si>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</si>
  <si>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</si>
  <si>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</si>
  <si>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</si>
  <si>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</si>
  <si>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</si>
  <si>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</si>
  <si>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</si>
  <si>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</si>
  <si>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</si>
  <si>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</si>
  <si>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</si>
  <si>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</si>
  <si>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</si>
  <si>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</si>
  <si>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</si>
  <si>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</si>
  <si>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</si>
  <si>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</si>
  <si>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</si>
  <si>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</si>
  <si>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</si>
  <si>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</si>
  <si>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</si>
  <si>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</si>
  <si>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</si>
  <si>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</si>
  <si>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</si>
  <si>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</si>
  <si>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</si>
  <si>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</si>
  <si>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</si>
  <si>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</si>
  <si>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</si>
  <si>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</si>
  <si>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</si>
  <si>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</si>
  <si>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</si>
  <si>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</si>
  <si>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</si>
  <si>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</si>
  <si>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</si>
  <si>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</si>
  <si>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</si>
  <si>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</si>
  <si>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</si>
  <si>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</si>
  <si>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</si>
  <si>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</si>
  <si>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</si>
  <si>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</si>
  <si>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</si>
  <si>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</si>
  <si>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</si>
  <si>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</si>
  <si>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</si>
  <si>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</si>
  <si>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</si>
  <si>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</si>
  <si>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</si>
  <si>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</si>
  <si>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</si>
  <si>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</si>
  <si>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</si>
  <si>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</si>
  <si>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</si>
  <si>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</si>
  <si>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</si>
  <si>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</si>
  <si>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</si>
  <si>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</si>
  <si>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</si>
  <si>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</si>
  <si>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</si>
  <si>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</si>
  <si>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</si>
  <si>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</si>
  <si>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</si>
  <si>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</si>
  <si>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</si>
  <si>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</si>
  <si>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</si>
  <si>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</si>
  <si>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</si>
  <si>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</si>
  <si>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</si>
  <si>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</si>
  <si>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</si>
  <si>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</si>
  <si>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</si>
  <si>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</si>
  <si>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</si>
  <si>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</si>
  <si>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</si>
  <si>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</si>
  <si>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</si>
  <si>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</si>
  <si>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</si>
  <si>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</si>
  <si>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</si>
  <si>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</si>
  <si>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</si>
  <si>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</si>
  <si>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</si>
  <si>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</si>
  <si>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</si>
  <si>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</si>
  <si>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</si>
  <si>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</si>
  <si>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</si>
  <si>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</si>
  <si>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</si>
  <si>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</si>
  <si>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</si>
  <si>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</si>
  <si>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</si>
  <si>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</si>
  <si>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</si>
  <si>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</si>
  <si>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</si>
  <si>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</si>
  <si>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</si>
  <si>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</si>
  <si>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</si>
  <si>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</si>
  <si>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</si>
  <si>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</si>
  <si>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</si>
  <si>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</si>
  <si>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</si>
  <si>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</si>
  <si>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</si>
  <si>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</si>
  <si>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</si>
  <si>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</si>
  <si>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</si>
  <si>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</si>
  <si>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</si>
  <si>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</si>
  <si>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</si>
  <si>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</si>
  <si>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</si>
  <si>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</si>
  <si>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</si>
  <si>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</si>
  <si>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</si>
  <si>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</si>
  <si>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</si>
  <si>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</si>
  <si>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</si>
  <si>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</si>
  <si>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</si>
  <si>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</si>
  <si>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</si>
  <si>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</si>
  <si>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</si>
  <si>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</si>
  <si>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</si>
  <si>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</si>
  <si>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</si>
  <si>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</si>
  <si>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</si>
  <si>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</si>
  <si>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</si>
  <si>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</si>
  <si>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</si>
  <si>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</si>
  <si>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</si>
  <si>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</si>
  <si>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</si>
  <si>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</si>
  <si>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</si>
  <si>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</si>
  <si>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</si>
  <si>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</si>
  <si>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</si>
  <si>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</si>
  <si>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</si>
  <si>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</si>
  <si>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</si>
  <si>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</si>
  <si>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</si>
  <si>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</si>
  <si>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</si>
  <si>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</si>
  <si>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</si>
  <si>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</si>
  <si>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</si>
  <si>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</si>
  <si>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</si>
  <si>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</si>
  <si>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</si>
  <si>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</si>
  <si>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</si>
  <si>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</si>
  <si>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</si>
  <si>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</si>
  <si>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</si>
  <si>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</si>
  <si>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</si>
  <si>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</si>
  <si>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</si>
  <si>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</si>
  <si>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</si>
  <si>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</si>
  <si>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</si>
  <si>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</si>
  <si>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</si>
  <si>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</si>
  <si>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</si>
  <si>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</si>
  <si>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</si>
  <si>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</si>
  <si>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</si>
  <si>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</si>
  <si>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</si>
  <si>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</si>
  <si>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</si>
  <si>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</si>
  <si>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</si>
  <si>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</si>
  <si>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</si>
  <si>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</si>
  <si>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</si>
  <si>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</si>
  <si>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</si>
  <si>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</si>
  <si>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</si>
  <si>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</si>
  <si>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</si>
  <si>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</si>
  <si>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</si>
  <si>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</si>
  <si>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</si>
  <si>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</si>
  <si>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</si>
  <si>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</si>
  <si>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</si>
  <si>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</si>
  <si>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</si>
  <si>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</si>
  <si>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</si>
  <si>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</si>
  <si>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</si>
  <si>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</si>
  <si>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</si>
  <si>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</si>
  <si>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</si>
  <si>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</si>
  <si>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</si>
  <si>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</si>
  <si>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</si>
  <si>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</si>
  <si>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</si>
  <si>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</si>
  <si>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</si>
  <si>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</si>
  <si>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</si>
  <si>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</si>
  <si>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</si>
  <si>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</si>
  <si>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</si>
  <si>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</si>
  <si>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</si>
  <si>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</si>
  <si>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</si>
  <si>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</si>
  <si>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</si>
  <si>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</si>
  <si>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</si>
  <si>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</si>
  <si>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</si>
  <si>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</si>
  <si>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</si>
  <si>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</si>
  <si>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</si>
  <si>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</si>
  <si>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</si>
  <si>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</si>
  <si>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</si>
  <si>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</si>
  <si>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</si>
  <si>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</si>
  <si>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</si>
  <si>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</si>
  <si>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</si>
  <si>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</si>
  <si>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</si>
  <si>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</si>
  <si>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</si>
  <si>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</si>
  <si>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</si>
  <si>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</si>
  <si>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</si>
  <si>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</si>
  <si>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</si>
  <si>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</si>
  <si>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</si>
  <si>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</si>
  <si>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</si>
  <si>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</si>
  <si>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</si>
  <si>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</si>
  <si>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</si>
  <si>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</si>
  <si>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</si>
  <si>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</si>
  <si>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</si>
  <si>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</si>
  <si>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</si>
  <si>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</si>
  <si>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</si>
  <si>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</si>
  <si>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</si>
  <si>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</si>
  <si>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</si>
  <si>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</si>
  <si>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</si>
  <si>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</si>
  <si>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</si>
  <si>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</si>
  <si>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</si>
  <si>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</si>
  <si>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</si>
  <si>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</si>
  <si>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</si>
  <si>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</si>
  <si>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</si>
  <si>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</si>
  <si>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</si>
  <si>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</si>
  <si>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</si>
  <si>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</si>
  <si>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</si>
  <si>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</si>
  <si>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</si>
  <si>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</si>
  <si>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</si>
  <si>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</si>
  <si>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</si>
  <si>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</si>
  <si>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</si>
  <si>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</si>
  <si>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</si>
  <si>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</si>
  <si>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</si>
  <si>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</si>
  <si>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</si>
  <si>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</si>
  <si>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</si>
  <si>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</si>
  <si>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</si>
  <si>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</si>
  <si>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</si>
  <si>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</si>
  <si>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</si>
  <si>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</si>
  <si>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</si>
  <si>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</si>
  <si>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</si>
  <si>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</si>
  <si>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</si>
  <si>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</si>
  <si>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</si>
  <si>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</si>
  <si>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</si>
  <si>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</si>
  <si>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</si>
  <si>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</si>
  <si>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</si>
  <si>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</si>
  <si>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</si>
  <si>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</si>
  <si>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</si>
  <si>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</si>
  <si>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</si>
  <si>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</si>
  <si>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</si>
  <si>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</si>
  <si>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</si>
  <si>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</si>
  <si>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</si>
  <si>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</si>
  <si>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</si>
  <si>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</si>
  <si>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</si>
  <si>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</si>
  <si>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</si>
  <si>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</si>
  <si>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</si>
  <si>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</si>
  <si>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</si>
  <si>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</si>
  <si>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</si>
  <si>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</si>
  <si>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</si>
  <si>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</si>
  <si>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</si>
  <si>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</si>
  <si>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</si>
  <si>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</si>
  <si>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</si>
  <si>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</si>
  <si>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</si>
  <si>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</si>
  <si>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</si>
  <si>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</si>
  <si>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</si>
  <si>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</si>
  <si>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</si>
  <si>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</si>
  <si>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</si>
  <si>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</si>
  <si>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</si>
  <si>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</si>
  <si>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</si>
  <si>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</si>
  <si>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</si>
  <si>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</si>
  <si>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</si>
  <si>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</si>
  <si>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</si>
  <si>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</si>
  <si>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</si>
  <si>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</si>
  <si>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</si>
  <si>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</si>
  <si>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</si>
  <si>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</si>
  <si>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</si>
  <si>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</si>
  <si>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</si>
  <si>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</si>
  <si>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</si>
  <si>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</si>
  <si>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</si>
  <si>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</si>
  <si>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</si>
  <si>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</si>
  <si>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</si>
  <si>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</si>
  <si>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</si>
  <si>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</si>
  <si>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</si>
  <si>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</si>
  <si>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</si>
  <si>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</si>
  <si>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</si>
  <si>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</si>
  <si>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</si>
  <si>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</si>
  <si>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</si>
  <si>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</si>
  <si>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</si>
  <si>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</si>
  <si>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</si>
  <si>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</si>
  <si>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</si>
  <si>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</si>
  <si>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</si>
  <si>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</si>
  <si>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</si>
  <si>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</si>
  <si>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</si>
  <si>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</si>
  <si>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</si>
  <si>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</si>
  <si>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</si>
  <si>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</si>
  <si>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</si>
  <si>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</si>
  <si>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</si>
  <si>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</si>
  <si>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</si>
  <si>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</si>
  <si>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</si>
  <si>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</si>
  <si>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</si>
  <si>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</si>
  <si>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</si>
  <si>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</si>
  <si>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</si>
  <si>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</si>
  <si>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</si>
  <si>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</si>
  <si>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</si>
  <si>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</si>
  <si>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</si>
  <si>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</si>
  <si>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</si>
  <si>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</si>
  <si>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</si>
  <si>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</si>
  <si>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</si>
  <si>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</si>
  <si>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</si>
  <si>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</si>
  <si>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</si>
  <si>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</si>
  <si>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</si>
  <si>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</si>
  <si>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</si>
  <si>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</si>
  <si>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</si>
  <si>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</si>
  <si>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</si>
  <si>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</si>
  <si>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</si>
  <si>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</si>
  <si>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</si>
  <si>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</si>
  <si>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</si>
  <si>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</si>
  <si>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</si>
  <si>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</si>
  <si>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</si>
  <si>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</si>
  <si>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</si>
  <si>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</si>
  <si>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</si>
  <si>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</si>
  <si>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</si>
  <si>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</si>
  <si>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</si>
  <si>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</si>
  <si>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</si>
  <si>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</si>
  <si>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</si>
  <si>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</si>
  <si>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</si>
  <si>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</si>
  <si>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</si>
  <si>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</si>
  <si>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</si>
  <si>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</si>
  <si>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</si>
  <si>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</si>
  <si>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</si>
  <si>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</si>
  <si>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</si>
  <si>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</si>
  <si>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</si>
  <si>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</si>
  <si>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</si>
  <si>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</si>
  <si>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</si>
  <si>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</si>
  <si>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</si>
  <si>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</si>
  <si>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</si>
  <si>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</si>
  <si>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</si>
  <si>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</si>
  <si>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</si>
  <si>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</si>
  <si>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</si>
  <si>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</si>
  <si>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</si>
  <si>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</si>
  <si>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</si>
  <si>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</si>
  <si>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</si>
  <si>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</si>
  <si>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</si>
  <si>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</si>
  <si>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</si>
  <si>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</si>
  <si>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</si>
  <si>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</si>
  <si>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</si>
  <si>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</si>
  <si>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</si>
  <si>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</si>
  <si>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</si>
  <si>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</si>
  <si>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</si>
  <si>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</si>
  <si>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</si>
  <si>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</si>
  <si>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</si>
  <si>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</si>
  <si>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</si>
  <si>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</si>
  <si>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</si>
  <si>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</si>
  <si>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</si>
  <si>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</si>
  <si>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</si>
  <si>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</si>
  <si>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</si>
  <si>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</si>
  <si>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</si>
  <si>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</si>
  <si>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</si>
  <si>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</si>
  <si>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</si>
  <si>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</si>
  <si>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</si>
  <si>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</si>
  <si>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</si>
  <si>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</si>
  <si>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</si>
  <si>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</si>
  <si>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</si>
  <si>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</si>
  <si>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</si>
  <si>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</si>
  <si>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</si>
  <si>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</si>
  <si>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</si>
  <si>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</si>
  <si>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</si>
  <si>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</si>
  <si>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</si>
  <si>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</si>
  <si>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</si>
  <si>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</si>
  <si>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</si>
  <si>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</si>
  <si>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</si>
  <si>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</si>
  <si>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</si>
  <si>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</si>
  <si>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</si>
  <si>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</si>
  <si>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</si>
  <si>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</si>
  <si>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</si>
  <si>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</si>
  <si>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</si>
  <si>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</si>
  <si>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</si>
  <si>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</si>
  <si>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</si>
  <si>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</si>
  <si>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</si>
  <si>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</si>
  <si>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</si>
  <si>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</si>
  <si>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</si>
  <si>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</si>
  <si>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</si>
  <si>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</si>
  <si>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</si>
  <si>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</si>
  <si>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</si>
  <si>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</si>
  <si>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</si>
  <si>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</si>
  <si>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</si>
  <si>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</si>
  <si>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</si>
  <si>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</si>
  <si>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</si>
  <si>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</si>
  <si>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</si>
  <si>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</si>
  <si>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</si>
  <si>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</si>
  <si>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</si>
  <si>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</si>
  <si>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</si>
  <si>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</si>
  <si>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</si>
  <si>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</si>
  <si>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</si>
  <si>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</si>
  <si>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</si>
  <si>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</si>
  <si>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</si>
  <si>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</si>
  <si>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</si>
  <si>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</si>
  <si>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</si>
  <si>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</si>
  <si>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</si>
  <si>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</si>
  <si>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</si>
  <si>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</si>
  <si>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</si>
  <si>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</si>
  <si>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</si>
  <si>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</si>
  <si>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</si>
  <si>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</si>
  <si>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</si>
  <si>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</si>
  <si>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</si>
  <si>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</si>
  <si>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</si>
  <si>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</si>
  <si>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</si>
  <si>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</si>
  <si>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</si>
  <si>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</si>
  <si>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</si>
  <si>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</si>
  <si>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</si>
  <si>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</si>
  <si>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</si>
  <si>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</si>
  <si>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</si>
  <si>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</si>
  <si>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</si>
  <si>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</si>
  <si>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</si>
  <si>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</si>
  <si>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</si>
  <si>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</si>
  <si>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</si>
  <si>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</si>
  <si>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</si>
  <si>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</si>
  <si>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</si>
  <si>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</si>
  <si>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</si>
  <si>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</si>
  <si>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</si>
  <si>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</si>
  <si>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</si>
  <si>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</si>
  <si>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</si>
  <si>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</si>
  <si>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</si>
  <si>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</si>
  <si>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</si>
  <si>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</si>
  <si>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</si>
  <si>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</si>
  <si>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</si>
  <si>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</si>
  <si>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</si>
  <si>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</si>
  <si>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</si>
  <si>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</si>
  <si>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</si>
  <si>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</si>
  <si>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</si>
  <si>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</si>
  <si>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</si>
  <si>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</si>
  <si>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</si>
  <si>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</si>
  <si>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</si>
  <si>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</si>
  <si>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</si>
  <si>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</si>
  <si>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</si>
  <si>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</si>
  <si>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</si>
  <si>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</si>
  <si>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</si>
  <si>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</si>
  <si>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</si>
  <si>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</si>
  <si>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</si>
  <si>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</si>
  <si>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</si>
  <si>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</si>
  <si>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</si>
  <si>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</si>
  <si>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</si>
  <si>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</si>
  <si>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</si>
  <si>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</si>
  <si>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</si>
  <si>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</si>
  <si>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</si>
  <si>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</si>
  <si>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</si>
  <si>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</si>
  <si>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</si>
  <si>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</si>
  <si>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</si>
  <si>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</si>
  <si>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</si>
  <si>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</si>
  <si>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</si>
  <si>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</si>
  <si>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</si>
  <si>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</si>
  <si>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</si>
  <si>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</si>
  <si>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</si>
  <si>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</si>
  <si>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</si>
  <si>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</si>
  <si>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</si>
  <si>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</si>
  <si>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</si>
  <si>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</si>
  <si>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</si>
  <si>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</si>
  <si>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</si>
  <si>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</si>
  <si>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</si>
  <si>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</si>
  <si>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</si>
  <si>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</si>
  <si>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</si>
  <si>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</si>
  <si>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</si>
  <si>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</si>
  <si>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</si>
  <si>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</si>
  <si>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</si>
  <si>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</si>
  <si>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</si>
  <si>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</si>
  <si>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</si>
  <si>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</si>
  <si>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</si>
  <si>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</si>
  <si>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</si>
  <si>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</si>
  <si>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</si>
  <si>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</si>
  <si>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</si>
  <si>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</si>
  <si>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</si>
  <si>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</si>
  <si>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</si>
  <si>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</si>
  <si>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</si>
  <si>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</si>
  <si>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</si>
  <si>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</si>
  <si>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</si>
  <si>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</si>
  <si>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</si>
  <si>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</si>
  <si>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</si>
  <si>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</si>
  <si>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</si>
  <si>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</si>
  <si>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</si>
  <si>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</si>
  <si>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</si>
  <si>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</si>
  <si>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</si>
  <si>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</si>
  <si>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</si>
  <si>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</si>
  <si>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</si>
  <si>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</si>
  <si>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</si>
  <si>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</si>
  <si>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</si>
  <si>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</si>
  <si>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</si>
  <si>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</si>
  <si>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</si>
  <si>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</si>
  <si>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</si>
  <si>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</si>
  <si>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</si>
  <si>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</si>
  <si>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</si>
  <si>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</si>
  <si>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</si>
  <si>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</si>
  <si>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</si>
  <si>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</si>
  <si>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</si>
  <si>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</si>
  <si>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</si>
  <si>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</si>
  <si>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</si>
  <si>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</si>
  <si>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</si>
  <si>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</si>
  <si>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</si>
  <si>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</si>
  <si>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</si>
  <si>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</si>
  <si>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</si>
  <si>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</si>
  <si>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</si>
  <si>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</si>
  <si>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</si>
  <si>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</si>
  <si>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</si>
  <si>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</si>
  <si>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</si>
  <si>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</si>
  <si>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</si>
  <si>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</si>
  <si>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</si>
  <si>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</si>
  <si>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</si>
  <si>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</si>
  <si>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</si>
  <si>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</si>
  <si>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</si>
  <si>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</si>
  <si>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</si>
  <si>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</si>
  <si>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</si>
  <si>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</si>
  <si>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</si>
  <si>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</si>
  <si>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</si>
  <si>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</si>
  <si>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</si>
  <si>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</si>
  <si>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</si>
  <si>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</si>
  <si>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</si>
  <si>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</si>
  <si>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</si>
  <si>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</si>
  <si>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</si>
  <si>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</si>
  <si>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</si>
  <si>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</si>
  <si>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</si>
  <si>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</si>
  <si>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</si>
  <si>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</si>
  <si>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</si>
  <si>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</si>
  <si>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</si>
  <si>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</si>
  <si>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</si>
  <si>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</si>
  <si>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</si>
  <si>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</si>
  <si>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</si>
  <si>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</si>
  <si>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</si>
  <si>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</si>
  <si>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</si>
  <si>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</si>
  <si>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</si>
  <si>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</si>
  <si>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</si>
  <si>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</si>
  <si>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</si>
  <si>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</si>
  <si>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</si>
  <si>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</si>
  <si>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</si>
  <si>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</si>
  <si>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</si>
  <si>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</si>
  <si>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</si>
  <si>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</si>
  <si>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</si>
  <si>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</si>
  <si>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</si>
  <si>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</si>
  <si>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</si>
  <si>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</si>
  <si>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</si>
  <si>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</si>
  <si>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</si>
  <si>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</si>
  <si>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</si>
  <si>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</si>
  <si>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</si>
  <si>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</si>
  <si>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</si>
  <si>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</si>
  <si>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</si>
  <si>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</si>
  <si>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</si>
  <si>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</si>
  <si>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</si>
  <si>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</si>
  <si>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</si>
  <si>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</si>
  <si>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</si>
  <si>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</si>
  <si>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</si>
  <si>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</si>
  <si>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</si>
  <si>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</si>
  <si>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</si>
  <si>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</si>
  <si>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</si>
  <si>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</si>
  <si>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</si>
  <si>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</si>
  <si>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</si>
  <si>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</si>
  <si>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</si>
  <si>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</si>
  <si>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</si>
  <si>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</si>
  <si>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</si>
  <si>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</si>
  <si>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</si>
  <si>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</si>
  <si>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</si>
  <si>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</si>
  <si>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</si>
  <si>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</si>
  <si>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</si>
  <si>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</si>
  <si>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</si>
  <si>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</si>
  <si>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</si>
  <si>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</si>
  <si>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</si>
  <si>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</si>
  <si>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</si>
  <si>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</si>
  <si>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</si>
  <si>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</si>
  <si>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</si>
  <si>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</si>
  <si>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</si>
  <si>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</si>
  <si>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</si>
  <si>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</si>
  <si>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</si>
  <si>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</si>
  <si>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</si>
  <si>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</si>
  <si>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</si>
  <si>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</si>
  <si>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</si>
  <si>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</si>
  <si>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</si>
  <si>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</si>
  <si>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</si>
  <si>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</si>
  <si>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</si>
  <si>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</si>
  <si>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</si>
  <si>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</si>
  <si>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</si>
  <si>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</si>
  <si>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</si>
  <si>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</si>
  <si>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</si>
  <si>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</si>
  <si>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</si>
  <si>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</si>
  <si>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</si>
  <si>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</si>
  <si>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</si>
  <si>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</si>
  <si>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</si>
  <si>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</si>
  <si>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</si>
  <si>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</si>
  <si>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</si>
  <si>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</si>
  <si>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</si>
  <si>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</si>
  <si>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</si>
  <si>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</si>
  <si>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</si>
  <si>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</si>
  <si>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</si>
  <si>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</si>
  <si>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</si>
  <si>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</si>
  <si>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</si>
  <si>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</si>
  <si>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</si>
  <si>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</si>
  <si>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</si>
  <si>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</si>
  <si>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</si>
  <si>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</si>
  <si>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</si>
  <si>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</si>
  <si>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</si>
  <si>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</si>
  <si>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</si>
  <si>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</si>
  <si>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</si>
  <si>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</si>
  <si>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</si>
  <si>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</si>
  <si>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</si>
  <si>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</si>
  <si>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</si>
  <si>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</si>
  <si>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</si>
  <si>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</si>
  <si>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</si>
  <si>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</si>
  <si>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</si>
  <si>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</si>
  <si>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</si>
  <si>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</si>
  <si>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</si>
  <si>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</si>
  <si>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</si>
  <si>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</si>
  <si>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</si>
  <si>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</si>
  <si>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</si>
  <si>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</si>
  <si>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</si>
  <si>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</si>
  <si>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</si>
  <si>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</si>
  <si>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</si>
  <si>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</si>
  <si>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</si>
  <si>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</si>
  <si>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</si>
  <si>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</si>
  <si>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</si>
  <si>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</si>
  <si>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</si>
  <si>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</si>
  <si>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</si>
  <si>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</si>
  <si>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</si>
  <si>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</si>
  <si>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</si>
  <si>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</si>
  <si>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</si>
  <si>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</si>
  <si>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</si>
  <si>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</si>
  <si>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</si>
  <si>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</si>
  <si>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</si>
  <si>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</si>
  <si>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</si>
  <si>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</si>
  <si>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</si>
  <si>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</si>
  <si>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</si>
  <si>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</si>
  <si>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</si>
  <si>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</si>
  <si>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</si>
  <si>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</si>
  <si>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</si>
  <si>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</si>
  <si>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</si>
  <si>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</si>
  <si>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</si>
  <si>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</si>
  <si>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</si>
  <si>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</si>
  <si>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</si>
  <si>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</si>
  <si>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</si>
  <si>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</si>
  <si>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</si>
  <si>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</si>
  <si>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</si>
  <si>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</si>
  <si>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</si>
  <si>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</si>
  <si>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</si>
  <si>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</si>
  <si>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</si>
  <si>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</si>
  <si>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</si>
  <si>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</si>
  <si>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</si>
  <si>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</si>
  <si>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</si>
  <si>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</si>
  <si>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</si>
  <si>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</si>
  <si>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</si>
  <si>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</si>
  <si>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</si>
  <si>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</si>
  <si>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</si>
  <si>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</si>
  <si>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</si>
  <si>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</si>
  <si>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</si>
  <si>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</si>
  <si>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</si>
  <si>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</si>
  <si>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</si>
  <si>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</si>
  <si>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</si>
  <si>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</si>
  <si>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</si>
  <si>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</si>
  <si>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</si>
  <si>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</si>
  <si>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</si>
  <si>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</si>
  <si>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</si>
  <si>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</si>
  <si>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</si>
  <si>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</si>
  <si>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</si>
  <si>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</si>
  <si>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</si>
  <si>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</si>
  <si>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</si>
  <si>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</si>
  <si>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</si>
  <si>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</si>
  <si>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</si>
  <si>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</si>
  <si>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</si>
  <si>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</si>
  <si>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</si>
  <si>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</si>
  <si>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</si>
  <si>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</si>
  <si>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</si>
  <si>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</si>
  <si>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</si>
  <si>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</si>
  <si>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</si>
  <si>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</si>
  <si>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</si>
  <si>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</si>
  <si>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</si>
  <si>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</si>
  <si>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</si>
  <si>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</si>
  <si>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</si>
  <si>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</si>
  <si>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</si>
  <si>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</si>
  <si>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</si>
  <si>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</si>
  <si>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</si>
  <si>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</si>
  <si>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</si>
  <si>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</si>
  <si>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</si>
  <si>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</si>
  <si>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</si>
  <si>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</si>
  <si>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</si>
  <si>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</si>
  <si>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</si>
  <si>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</si>
  <si>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</si>
  <si>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</si>
  <si>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</si>
  <si>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</si>
  <si>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</si>
  <si>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</si>
  <si>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</si>
  <si>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</si>
  <si>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</si>
  <si>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</si>
  <si>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</si>
  <si>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</si>
  <si>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</si>
  <si>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</si>
  <si>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</si>
  <si>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</si>
  <si>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</si>
  <si>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</si>
  <si>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</si>
  <si>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</si>
  <si>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</si>
  <si>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</si>
  <si>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</si>
  <si>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</si>
  <si>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</si>
  <si>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</si>
  <si>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</si>
  <si>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</si>
  <si>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</si>
  <si>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</si>
  <si>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</si>
  <si>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</si>
  <si>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</si>
  <si>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</si>
  <si>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</si>
  <si>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</si>
  <si>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</si>
  <si>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</si>
  <si>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</si>
  <si>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</si>
  <si>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</si>
  <si>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</si>
  <si>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</si>
  <si>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</si>
  <si>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</si>
  <si>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</si>
  <si>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</si>
  <si>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</si>
  <si>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</si>
  <si>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</si>
  <si>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</si>
  <si>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</si>
  <si>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</si>
  <si>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</si>
  <si>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</si>
  <si>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</si>
  <si>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</si>
  <si>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</si>
  <si>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</si>
  <si>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</si>
  <si>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</si>
  <si>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</si>
  <si>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</si>
  <si>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</si>
  <si>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</si>
  <si>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</si>
  <si>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</si>
  <si>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</si>
  <si>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</si>
  <si>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</si>
  <si>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</si>
  <si>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</si>
  <si>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</si>
  <si>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</si>
  <si>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</si>
  <si>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</si>
  <si>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</si>
  <si>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</si>
  <si>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</si>
  <si>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</si>
  <si>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</si>
  <si>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</si>
  <si>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</si>
  <si>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</si>
  <si>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</si>
  <si>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</si>
  <si>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</si>
  <si>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</si>
  <si>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</si>
  <si>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</si>
  <si>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</si>
  <si>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</si>
  <si>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</si>
  <si>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</si>
  <si>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</si>
  <si>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</si>
  <si>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</si>
  <si>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</si>
  <si>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</si>
  <si>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</si>
  <si>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</si>
  <si>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</si>
  <si>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</si>
  <si>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</si>
  <si>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</si>
  <si>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</si>
  <si>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</si>
  <si>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</si>
  <si>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</si>
  <si>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</si>
  <si>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</si>
  <si>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</si>
  <si>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</si>
  <si>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</si>
  <si>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</si>
  <si>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</si>
  <si>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</si>
  <si>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</si>
  <si>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</si>
  <si>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</si>
  <si>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</si>
  <si>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</si>
  <si>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</si>
  <si>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</si>
  <si>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</si>
  <si>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</si>
  <si>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</si>
  <si>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</si>
  <si>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</si>
  <si>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</si>
  <si>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</si>
  <si>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</si>
  <si>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</si>
  <si>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</si>
  <si>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</si>
  <si>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</si>
  <si>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</si>
  <si>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</si>
  <si>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</si>
  <si>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</si>
  <si>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</si>
  <si>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</si>
  <si>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</si>
  <si>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</si>
  <si>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</si>
  <si>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</si>
  <si>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</si>
  <si>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</si>
  <si>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</si>
  <si>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</si>
  <si>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</si>
  <si>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</si>
  <si>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</si>
  <si>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</si>
  <si>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</si>
  <si>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</si>
  <si>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</si>
  <si>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</si>
  <si>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</si>
  <si>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</si>
  <si>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</si>
  <si>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</si>
  <si>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</si>
  <si>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</si>
  <si>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</si>
  <si>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</si>
  <si>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</si>
  <si>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</si>
  <si>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</si>
  <si>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</si>
  <si>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</si>
  <si>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</si>
  <si>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</si>
  <si>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</si>
  <si>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</si>
  <si>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</si>
  <si>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</si>
  <si>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</si>
  <si>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</si>
  <si>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</si>
  <si>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</si>
  <si>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</si>
  <si>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</si>
  <si>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</si>
  <si>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</si>
  <si>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</si>
  <si>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</si>
  <si>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</si>
  <si>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</si>
  <si>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</si>
  <si>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</si>
  <si>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</si>
  <si>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</si>
  <si>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</si>
  <si>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</si>
  <si>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</si>
  <si>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</si>
  <si>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</si>
  <si>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</si>
  <si>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</si>
  <si>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</si>
  <si>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</si>
  <si>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</si>
  <si>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</si>
  <si>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</si>
  <si>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</si>
  <si>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</si>
  <si>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</si>
  <si>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</si>
  <si>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</si>
  <si>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</si>
  <si>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</si>
  <si>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</si>
  <si>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</si>
  <si>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</si>
  <si>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</si>
  <si>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</si>
  <si>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</si>
  <si>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</si>
  <si>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</si>
  <si>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</si>
  <si>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</si>
  <si>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</si>
  <si>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</si>
  <si>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</si>
  <si>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</si>
  <si>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</si>
  <si>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</si>
  <si>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</si>
  <si>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</si>
  <si>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</si>
  <si>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</si>
  <si>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</si>
  <si>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</si>
  <si>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</si>
  <si>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</si>
  <si>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</si>
  <si>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</si>
  <si>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</si>
  <si>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</si>
  <si>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</si>
  <si>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</si>
  <si>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</si>
  <si>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</si>
  <si>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</si>
  <si>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</si>
  <si>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</si>
  <si>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</si>
  <si>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</si>
  <si>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</si>
  <si>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</si>
  <si>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</si>
  <si>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</si>
  <si>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</si>
  <si>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</si>
  <si>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</si>
  <si>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</si>
  <si>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</si>
  <si>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</si>
  <si>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</si>
  <si>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</si>
  <si>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</si>
  <si>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</si>
  <si>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</si>
  <si>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</si>
  <si>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</si>
  <si>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</si>
  <si>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</si>
  <si>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</si>
  <si>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</si>
  <si>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</si>
  <si>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</si>
  <si>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</si>
  <si>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</si>
  <si>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</si>
  <si>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</si>
  <si>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</si>
  <si>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</si>
  <si>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</si>
  <si>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</si>
  <si>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</si>
  <si>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</si>
  <si>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</si>
  <si>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</si>
  <si>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</si>
  <si>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</si>
  <si>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</si>
  <si>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</si>
  <si>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</si>
  <si>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</si>
  <si>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</si>
  <si>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</si>
  <si>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</si>
  <si>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</si>
  <si>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</si>
  <si>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</si>
  <si>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</si>
  <si>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</si>
  <si>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</si>
  <si>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</si>
  <si>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</si>
  <si>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</si>
  <si>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</si>
  <si>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</si>
  <si>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</si>
  <si>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</si>
  <si>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</si>
  <si>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</si>
  <si>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</si>
  <si>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</si>
  <si>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</si>
  <si>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</si>
  <si>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</si>
  <si>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</si>
  <si>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</si>
  <si>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</si>
  <si>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</si>
  <si>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</si>
  <si>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</si>
  <si>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</si>
  <si>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</si>
  <si>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</si>
  <si>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</si>
  <si>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</si>
  <si>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</si>
  <si>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</si>
  <si>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</si>
  <si>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</si>
  <si>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</si>
  <si>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</si>
  <si>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</si>
  <si>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</si>
  <si>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</si>
  <si>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</si>
  <si>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</si>
  <si>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</si>
  <si>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</si>
  <si>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</si>
  <si>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</si>
  <si>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</si>
  <si>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</si>
  <si>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</si>
  <si>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</si>
  <si>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</si>
  <si>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</si>
  <si>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</si>
  <si>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</si>
  <si>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</si>
  <si>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</si>
  <si>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</si>
  <si>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</si>
  <si>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</si>
  <si>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</si>
  <si>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</si>
  <si>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</si>
  <si>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</si>
  <si>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</si>
  <si>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</si>
  <si>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</si>
  <si>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</si>
  <si>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</si>
  <si>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</si>
  <si>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</si>
  <si>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</si>
  <si>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</si>
  <si>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</si>
  <si>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</si>
  <si>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</si>
  <si>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</si>
  <si>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</si>
  <si>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</si>
  <si>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</si>
  <si>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</si>
  <si>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</si>
  <si>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</si>
  <si>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</si>
  <si>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</si>
  <si>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</si>
  <si>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</si>
  <si>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</si>
  <si>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</si>
  <si>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</si>
  <si>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</si>
  <si>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</si>
  <si>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</si>
  <si>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</si>
  <si>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</si>
  <si>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</si>
  <si>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</si>
  <si>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</si>
  <si>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</si>
  <si>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</si>
  <si>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</si>
  <si>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</si>
  <si>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</si>
  <si>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</si>
  <si>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</si>
  <si>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</si>
  <si>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</si>
  <si>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</si>
  <si>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</si>
  <si>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</si>
  <si>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</si>
  <si>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</si>
  <si>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</si>
  <si>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</si>
  <si>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</si>
  <si>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</si>
  <si>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</si>
  <si>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</si>
  <si>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</si>
  <si>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</si>
  <si>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</si>
  <si>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</si>
  <si>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</si>
  <si>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</si>
  <si>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</si>
  <si>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</si>
  <si>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</si>
  <si>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</si>
  <si>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</si>
  <si>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</si>
  <si>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</si>
  <si>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</si>
  <si>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</si>
  <si>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</si>
  <si>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</si>
  <si>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</si>
  <si>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</si>
  <si>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</si>
  <si>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</si>
  <si>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</si>
  <si>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</si>
  <si>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</si>
  <si>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</si>
  <si>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</si>
  <si>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</si>
  <si>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</si>
  <si>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</si>
  <si>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</si>
  <si>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</si>
  <si>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</si>
  <si>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</si>
  <si>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</si>
  <si>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</si>
  <si>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</si>
  <si>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</si>
  <si>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</si>
  <si>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</si>
  <si>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</si>
  <si>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</si>
  <si>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</si>
  <si>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</si>
  <si>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</si>
  <si>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</si>
  <si>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</si>
  <si>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</si>
  <si>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</si>
  <si>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</si>
  <si>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</si>
  <si>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</si>
  <si>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</si>
  <si>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</si>
  <si>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</si>
  <si>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</si>
  <si>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</si>
  <si>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</si>
  <si>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</si>
  <si>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</si>
  <si>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</si>
  <si>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</si>
  <si>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</si>
  <si>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</si>
  <si>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</si>
  <si>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</si>
  <si>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</si>
  <si>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</si>
  <si>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</si>
  <si>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</si>
  <si>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</si>
  <si>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</si>
  <si>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</si>
  <si>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</si>
  <si>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</si>
  <si>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</si>
  <si>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</si>
  <si>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</si>
  <si>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</si>
  <si>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</si>
  <si>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</si>
  <si>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</si>
  <si>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</si>
  <si>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</si>
  <si>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</si>
  <si>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</si>
  <si>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</si>
  <si>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</si>
  <si>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</si>
  <si>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</si>
  <si>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</si>
  <si>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</si>
  <si>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</si>
  <si>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</si>
  <si>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</si>
  <si>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</si>
  <si>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</si>
  <si>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</si>
  <si>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</si>
  <si>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</si>
  <si>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</si>
  <si>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</si>
  <si>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</si>
  <si>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</si>
  <si>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</si>
  <si>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</si>
  <si>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</si>
  <si>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</si>
  <si>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</si>
  <si>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</si>
  <si>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</si>
  <si>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</si>
  <si>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</si>
  <si>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</si>
  <si>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</si>
  <si>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</si>
  <si>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</si>
  <si>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</si>
  <si>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</si>
  <si>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</si>
  <si>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</si>
  <si>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</si>
  <si>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</si>
  <si>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</si>
  <si>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</si>
  <si>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</si>
  <si>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</si>
  <si>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</si>
  <si>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</si>
  <si>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</si>
  <si>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</si>
  <si>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</si>
  <si>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</si>
  <si>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</si>
  <si>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</si>
  <si>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</si>
  <si>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</si>
  <si>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</si>
  <si>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</si>
  <si>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</si>
  <si>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</si>
  <si>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</si>
  <si>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</si>
  <si>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</si>
  <si>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</si>
  <si>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</si>
  <si>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</si>
  <si>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</si>
  <si>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</si>
  <si>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</si>
  <si>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</si>
  <si>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</si>
  <si>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</si>
  <si>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</si>
  <si>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</si>
  <si>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</si>
  <si>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</si>
  <si>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</si>
  <si>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</si>
  <si>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</si>
  <si>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</si>
  <si>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</si>
  <si>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</si>
  <si>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</si>
  <si>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</si>
  <si>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</si>
  <si>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</si>
  <si>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</si>
  <si>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</si>
  <si>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</si>
  <si>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</si>
  <si>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</si>
  <si>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</si>
  <si>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</si>
  <si>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</si>
  <si>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</si>
  <si>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</si>
  <si>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</si>
  <si>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</si>
  <si>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</si>
  <si>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</si>
  <si>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</si>
  <si>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</si>
  <si>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</si>
  <si>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</si>
  <si>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</si>
  <si>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</si>
  <si>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</si>
  <si>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</si>
  <si>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</si>
  <si>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</si>
  <si>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</si>
  <si>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</si>
  <si>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</si>
  <si>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</si>
  <si>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</si>
  <si>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</si>
  <si>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</si>
  <si>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</si>
  <si>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</si>
  <si>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</si>
  <si>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</si>
  <si>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</si>
  <si>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</si>
  <si>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</si>
  <si>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</si>
  <si>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</si>
  <si>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</si>
  <si>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</si>
  <si>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</si>
  <si>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</si>
  <si>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</si>
  <si>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</si>
  <si>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</si>
  <si>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</si>
  <si>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</si>
  <si>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</si>
  <si>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</si>
  <si>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</si>
  <si>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</si>
  <si>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</si>
  <si>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</si>
  <si>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</si>
  <si>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</si>
  <si>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</si>
  <si>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</si>
  <si>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</si>
  <si>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</si>
  <si>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</si>
  <si>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</si>
  <si>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</si>
  <si>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</si>
  <si>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</si>
  <si>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</si>
  <si>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</si>
  <si>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</si>
  <si>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</si>
  <si>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</si>
  <si>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</si>
  <si>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</si>
  <si>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</si>
  <si>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</si>
  <si>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</si>
  <si>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</si>
  <si>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</si>
  <si>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</si>
  <si>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</si>
  <si>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</si>
  <si>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</si>
  <si>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</si>
  <si>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</si>
  <si>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</si>
  <si>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</si>
  <si>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</si>
  <si>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</si>
  <si>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</si>
  <si>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</si>
  <si>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</si>
  <si>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</si>
  <si>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</si>
  <si>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</si>
  <si>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</si>
  <si>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</si>
  <si>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</si>
  <si>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</si>
  <si>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</si>
  <si>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</si>
  <si>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</si>
  <si>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</si>
  <si>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</si>
  <si>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</si>
  <si>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</si>
  <si>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</si>
  <si>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</si>
  <si>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</si>
  <si>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</si>
  <si>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</si>
  <si>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</si>
  <si>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</si>
  <si>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</si>
  <si>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</si>
  <si>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</si>
  <si>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</si>
  <si>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</si>
  <si>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</si>
  <si>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</si>
  <si>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</si>
  <si>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</si>
  <si>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</si>
  <si>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</si>
  <si>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</si>
  <si>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</si>
  <si>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</si>
  <si>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</si>
  <si>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</si>
  <si>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</si>
  <si>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</si>
  <si>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</si>
  <si>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</si>
  <si>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</si>
  <si>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</si>
  <si>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</si>
  <si>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</si>
  <si>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</si>
  <si>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</si>
  <si>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</si>
  <si>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</si>
  <si>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</si>
  <si>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</si>
  <si>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</si>
  <si>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</si>
  <si>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</si>
  <si>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</si>
  <si>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</si>
  <si>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</si>
  <si>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</si>
  <si>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</si>
  <si>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</si>
  <si>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</si>
  <si>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</si>
  <si>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</si>
  <si>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</si>
  <si>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</si>
  <si>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</si>
  <si>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</si>
  <si>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</si>
  <si>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</si>
  <si>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</si>
  <si>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</si>
  <si>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</si>
  <si>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</si>
  <si>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</si>
  <si>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</si>
  <si>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</si>
  <si>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</si>
  <si>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</si>
  <si>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</si>
  <si>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</si>
  <si>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</si>
  <si>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</si>
  <si>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</si>
  <si>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</si>
  <si>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</si>
  <si>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</si>
  <si>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</si>
  <si>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</si>
  <si>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</si>
  <si>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</si>
  <si>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</si>
  <si>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</si>
  <si>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</si>
  <si>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</si>
  <si>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</si>
  <si>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</si>
  <si>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</si>
  <si>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</si>
  <si>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</si>
  <si>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</si>
  <si>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</si>
  <si>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</si>
  <si>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</si>
  <si>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</si>
  <si>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</si>
  <si>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</si>
  <si>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</si>
  <si>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</si>
  <si>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</si>
  <si>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</si>
  <si>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</si>
  <si>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</si>
  <si>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</si>
  <si>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</si>
  <si>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</si>
  <si>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</si>
  <si>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</si>
  <si>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</si>
  <si>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</si>
  <si>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</si>
  <si>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</si>
  <si>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</si>
  <si>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</si>
  <si>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</si>
  <si>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</si>
  <si>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</si>
  <si>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</si>
  <si>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</si>
  <si>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</si>
  <si>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</si>
  <si>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</si>
  <si>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</si>
  <si>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</si>
  <si>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</si>
  <si>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</si>
  <si>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</si>
  <si>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</si>
  <si>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</si>
  <si>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</si>
  <si>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</si>
  <si>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</si>
  <si>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</si>
  <si>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</si>
  <si>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</si>
  <si>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</si>
  <si>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</si>
  <si>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</si>
  <si>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</si>
  <si>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</si>
  <si>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</si>
  <si>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</si>
  <si>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</si>
  <si>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</si>
  <si>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</si>
  <si>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</si>
  <si>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</si>
  <si>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</si>
  <si>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</si>
  <si>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</si>
  <si>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</si>
  <si>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</si>
  <si>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</si>
  <si>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</si>
  <si>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</si>
  <si>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</si>
  <si>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</si>
  <si>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</si>
  <si>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</si>
  <si>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</si>
  <si>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</si>
  <si>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</si>
  <si>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</si>
  <si>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</si>
  <si>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</si>
  <si>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</si>
  <si>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</si>
  <si>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</si>
  <si>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</si>
  <si>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</si>
  <si>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</si>
  <si>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</si>
  <si>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</si>
  <si>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</si>
  <si>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</si>
  <si>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</si>
  <si>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</si>
  <si>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</si>
  <si>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</si>
  <si>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</si>
  <si>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</si>
  <si>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</si>
  <si>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</si>
  <si>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</si>
  <si>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</si>
  <si>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</si>
  <si>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</si>
  <si>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</si>
  <si>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</si>
  <si>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</si>
  <si>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</si>
  <si>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</si>
  <si>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</si>
  <si>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</si>
  <si>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</si>
  <si>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</si>
  <si>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</si>
  <si>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</si>
  <si>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</si>
  <si>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</si>
  <si>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</si>
  <si>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</si>
  <si>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</si>
  <si>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</si>
  <si>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</si>
  <si>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</si>
  <si>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</si>
  <si>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</si>
  <si>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</si>
  <si>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</si>
  <si>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</si>
  <si>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</si>
  <si>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</si>
  <si>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</si>
  <si>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</si>
  <si>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</si>
  <si>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</si>
  <si>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</si>
  <si>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</si>
  <si>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</si>
  <si>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</si>
  <si>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</si>
  <si>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</si>
  <si>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</si>
  <si>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</si>
  <si>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</si>
  <si>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</si>
  <si>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</si>
  <si>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</si>
  <si>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</si>
  <si>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</si>
  <si>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</si>
  <si>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</si>
  <si>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</si>
  <si>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</si>
  <si>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</si>
  <si>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</si>
  <si>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</si>
  <si>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</si>
  <si>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</si>
  <si>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</si>
  <si>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</si>
  <si>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</si>
  <si>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</si>
  <si>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</si>
  <si>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</si>
  <si>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</si>
  <si>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</si>
  <si>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</si>
  <si>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</si>
  <si>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</si>
  <si>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</si>
  <si>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</si>
  <si>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</si>
  <si>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</si>
  <si>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</si>
  <si>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</si>
  <si>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</si>
  <si>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</si>
  <si>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</si>
  <si>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</si>
  <si>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</si>
  <si>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</si>
  <si>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</si>
  <si>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</si>
  <si>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</si>
  <si>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</si>
  <si>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</si>
  <si>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</si>
  <si>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</si>
  <si>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</si>
  <si>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</si>
  <si>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</si>
  <si>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</si>
  <si>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</si>
  <si>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</si>
  <si>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</si>
  <si>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</si>
  <si>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</si>
  <si>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</si>
  <si>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</si>
  <si>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</si>
  <si>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</si>
  <si>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</si>
  <si>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</si>
  <si>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</si>
  <si>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</si>
  <si>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</si>
  <si>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</si>
  <si>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</si>
  <si>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</si>
  <si>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</si>
  <si>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</si>
  <si>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</si>
  <si>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</si>
  <si>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</si>
  <si>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</si>
  <si>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</si>
  <si>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</si>
  <si>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</si>
  <si>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</si>
  <si>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</si>
  <si>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</si>
  <si>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</si>
  <si>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</si>
  <si>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</si>
  <si>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</si>
  <si>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</si>
  <si>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</si>
  <si>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</si>
  <si>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</si>
  <si>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</si>
  <si>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</si>
  <si>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</si>
  <si>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</si>
  <si>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</si>
  <si>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</si>
  <si>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</si>
  <si>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</si>
  <si>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</si>
  <si>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</si>
  <si>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</si>
  <si>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</si>
  <si>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</si>
  <si>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</si>
  <si>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</si>
  <si>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</si>
  <si>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</si>
  <si>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</si>
  <si>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</si>
  <si>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</si>
  <si>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</si>
  <si>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</si>
  <si>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</si>
  <si>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</si>
  <si>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</si>
  <si>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</si>
  <si>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</si>
  <si>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</si>
  <si>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</si>
  <si>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</si>
  <si>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</si>
  <si>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</si>
  <si>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</si>
  <si>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</si>
  <si>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</si>
  <si>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</si>
  <si>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</si>
  <si>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</si>
  <si>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</si>
  <si>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</si>
  <si>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</si>
  <si>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</si>
  <si>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</si>
  <si>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</si>
  <si>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</si>
  <si>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</si>
  <si>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</si>
  <si>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</si>
  <si>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</si>
  <si>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</si>
  <si>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</si>
  <si>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</si>
  <si>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</si>
  <si>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</si>
  <si>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</si>
  <si>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</si>
  <si>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</si>
  <si>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</si>
  <si>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</si>
  <si>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</si>
  <si>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</si>
  <si>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</si>
  <si>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</si>
  <si>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</si>
  <si>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</si>
  <si>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</si>
  <si>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</si>
  <si>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</si>
  <si>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</si>
  <si>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</si>
  <si>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</si>
  <si>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</si>
  <si>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</si>
  <si>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</si>
  <si>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</si>
  <si>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</si>
  <si>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</si>
  <si>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</si>
  <si>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</si>
  <si>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</si>
  <si>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</si>
  <si>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</si>
  <si>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</si>
  <si>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</si>
  <si>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</si>
  <si>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</si>
  <si>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</si>
  <si>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</si>
  <si>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</si>
  <si>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</si>
  <si>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</si>
  <si>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</si>
  <si>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</si>
  <si>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</si>
  <si>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</si>
  <si>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</si>
  <si>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</si>
  <si>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</si>
  <si>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</si>
  <si>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</si>
  <si>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</si>
  <si>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</si>
  <si>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</si>
  <si>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</si>
  <si>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</si>
  <si>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</si>
  <si>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</si>
  <si>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</si>
  <si>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</si>
  <si>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</si>
  <si>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</si>
  <si>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</si>
  <si>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</si>
  <si>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</si>
  <si>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</si>
  <si>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</si>
  <si>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</si>
  <si>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</si>
  <si>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</si>
  <si>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</si>
  <si>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</si>
  <si>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</si>
  <si>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</si>
  <si>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</si>
  <si>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</si>
  <si>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</si>
  <si>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</si>
  <si>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</si>
  <si>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</si>
  <si>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</si>
  <si>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</si>
  <si>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</si>
  <si>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</si>
  <si>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</si>
  <si>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</si>
  <si>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</si>
  <si>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</si>
  <si>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</si>
  <si>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</si>
  <si>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</si>
  <si>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</si>
  <si>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</si>
  <si>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</si>
  <si>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</si>
  <si>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</si>
  <si>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</si>
  <si>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</si>
  <si>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</si>
  <si>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</si>
  <si>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</si>
  <si>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</si>
  <si>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</si>
  <si>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</si>
  <si>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</si>
  <si>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</si>
  <si>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</si>
  <si>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</si>
  <si>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</si>
  <si>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</si>
  <si>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</si>
  <si>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</si>
  <si>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</si>
  <si>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</si>
  <si>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</si>
  <si>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</si>
  <si>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</si>
  <si>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</si>
  <si>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</si>
  <si>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</si>
  <si>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</si>
  <si>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</si>
  <si>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</si>
  <si>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</si>
  <si>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</si>
  <si>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</si>
  <si>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</si>
  <si>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</si>
  <si>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</si>
  <si>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</si>
  <si>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</si>
  <si>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</si>
  <si>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</si>
  <si>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</si>
  <si>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</si>
  <si>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</si>
  <si>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</si>
  <si>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</si>
  <si>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</si>
  <si>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</si>
  <si>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</si>
  <si>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</si>
  <si>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</si>
  <si>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</si>
  <si>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</si>
  <si>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</si>
  <si>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</si>
  <si>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</si>
  <si>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</si>
  <si>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</si>
  <si>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</si>
  <si>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</si>
  <si>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</si>
  <si>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</si>
  <si>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</si>
  <si>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</si>
  <si>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</si>
  <si>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</si>
  <si>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</si>
  <si>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</si>
  <si>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</si>
  <si>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</si>
  <si>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</si>
  <si>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</si>
  <si>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</si>
  <si>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</si>
  <si>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</si>
  <si>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</si>
  <si>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</si>
  <si>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</si>
  <si>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</si>
  <si>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</si>
  <si>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</si>
  <si>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</si>
  <si>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</si>
  <si>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</si>
  <si>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</si>
  <si>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</si>
  <si>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</si>
  <si>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</si>
  <si>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</si>
  <si>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</si>
  <si>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</si>
  <si>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</si>
  <si>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</si>
  <si>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</si>
  <si>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</si>
  <si>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</si>
  <si>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</si>
  <si>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</si>
  <si>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</si>
  <si>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</si>
  <si>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</si>
  <si>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</si>
  <si>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</si>
  <si>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</si>
  <si>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</si>
  <si>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</si>
  <si>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</si>
  <si>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</si>
  <si>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</si>
  <si>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</si>
  <si>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</si>
  <si>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</si>
  <si>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</si>
  <si>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</si>
  <si>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</si>
  <si>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</si>
  <si>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</si>
  <si>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</si>
  <si>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</si>
  <si>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</si>
  <si>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</si>
  <si>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</si>
  <si>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</si>
  <si>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</si>
  <si>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</si>
  <si>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</si>
  <si>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</si>
  <si>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</si>
  <si>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</si>
  <si>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</si>
  <si>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</si>
  <si>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</si>
  <si>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</si>
  <si>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</si>
  <si>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</si>
  <si>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</si>
  <si>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</si>
  <si>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</si>
  <si>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</si>
  <si>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</si>
  <si>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</si>
  <si>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</si>
  <si>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</si>
  <si>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</si>
  <si>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</si>
  <si>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</si>
  <si>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</si>
  <si>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</si>
  <si>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</si>
  <si>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</si>
  <si>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</si>
  <si>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</si>
  <si>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</si>
  <si>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</si>
  <si>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</si>
  <si>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</si>
  <si>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</si>
  <si>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</si>
  <si>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</si>
  <si>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</si>
  <si>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</si>
  <si>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</si>
  <si>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</si>
  <si>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</si>
  <si>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</si>
  <si>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</si>
  <si>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</si>
  <si>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</si>
  <si>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</si>
  <si>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</si>
  <si>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</si>
  <si>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</si>
  <si>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</si>
  <si>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</si>
  <si>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</si>
  <si>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</si>
  <si>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</si>
  <si>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</si>
  <si>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</si>
  <si>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</si>
  <si>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</si>
  <si>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</si>
  <si>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</si>
  <si>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</si>
  <si>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</si>
  <si>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</si>
  <si>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</si>
  <si>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</si>
  <si>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</si>
  <si>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</si>
  <si>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</si>
  <si>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</si>
  <si>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</si>
  <si>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</si>
  <si>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</si>
  <si>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</si>
  <si>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</si>
  <si>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</si>
  <si>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</si>
  <si>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</si>
  <si>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</si>
  <si>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</si>
  <si>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</si>
  <si>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</si>
  <si>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</si>
  <si>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</si>
  <si>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</si>
  <si>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</si>
  <si>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</si>
  <si>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</si>
  <si>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</si>
  <si>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</si>
  <si>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</si>
  <si>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</si>
  <si>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</si>
  <si>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</si>
  <si>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</si>
  <si>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</si>
  <si>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</si>
  <si>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</si>
  <si>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</si>
  <si>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</si>
  <si>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</si>
  <si>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</si>
  <si>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</si>
  <si>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</si>
  <si>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</si>
  <si>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</si>
  <si>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</si>
  <si>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</si>
  <si>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</si>
  <si>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</si>
  <si>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</si>
  <si>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</si>
  <si>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</si>
  <si>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</si>
  <si>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</si>
  <si>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</si>
  <si>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</si>
  <si>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</si>
  <si>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</si>
  <si>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</si>
  <si>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</si>
  <si>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</si>
  <si>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</si>
  <si>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</si>
  <si>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</si>
  <si>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</si>
  <si>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</si>
  <si>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</si>
  <si>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</si>
  <si>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</si>
  <si>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</si>
  <si>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</si>
  <si>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</si>
  <si>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</si>
  <si>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</si>
  <si>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</si>
  <si>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</si>
  <si>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</si>
  <si>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</si>
  <si>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</si>
  <si>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</si>
  <si>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</si>
  <si>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</si>
  <si>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</si>
  <si>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</si>
  <si>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</si>
  <si>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</si>
  <si>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</si>
  <si>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</si>
  <si>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</si>
  <si>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</si>
  <si>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</si>
  <si>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</si>
  <si>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</si>
  <si>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</si>
  <si>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</si>
  <si>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</si>
  <si>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</si>
  <si>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</si>
  <si>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</si>
  <si>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</si>
  <si>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</si>
  <si>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</si>
  <si>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</si>
  <si>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</si>
  <si>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</si>
  <si>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</si>
  <si>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</si>
  <si>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</si>
  <si>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</si>
  <si>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</si>
  <si>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</si>
  <si>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</si>
  <si>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</si>
  <si>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</si>
  <si>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</si>
  <si>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</si>
  <si>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</si>
  <si>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</si>
  <si>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</si>
  <si>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</si>
  <si>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</si>
  <si>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</si>
  <si>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</si>
  <si>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</si>
  <si>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</si>
  <si>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</si>
  <si>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</si>
  <si>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</si>
  <si>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</si>
  <si>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</si>
  <si>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</si>
  <si>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</si>
  <si>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</si>
  <si>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</si>
  <si>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</si>
  <si>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</si>
  <si>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</si>
  <si>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</si>
  <si>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</si>
  <si>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</si>
  <si>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</si>
  <si>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</si>
  <si>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</si>
  <si>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</si>
  <si>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</si>
  <si>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</si>
  <si>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</si>
  <si>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</si>
  <si>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</si>
  <si>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</si>
  <si>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</si>
  <si>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</si>
  <si>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</si>
  <si>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</si>
  <si>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</si>
  <si>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</si>
  <si>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</si>
  <si>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</si>
  <si>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</si>
  <si>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</si>
  <si>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</si>
  <si>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</si>
  <si>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</si>
  <si>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</si>
  <si>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</si>
  <si>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</si>
  <si>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</si>
  <si>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</si>
  <si>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</si>
  <si>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</si>
  <si>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</si>
  <si>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</si>
  <si>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</si>
  <si>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</si>
  <si>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</si>
  <si>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</si>
  <si>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</si>
  <si>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</si>
  <si>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</si>
  <si>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</si>
  <si>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</si>
  <si>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</si>
  <si>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</si>
  <si>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</si>
  <si>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</si>
  <si>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</si>
  <si>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</si>
  <si>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</si>
  <si>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</si>
  <si>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</si>
  <si>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</si>
  <si>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</si>
  <si>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</si>
  <si>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</si>
  <si>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</si>
  <si>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</si>
  <si>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</si>
  <si>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</si>
  <si>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</si>
  <si>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</si>
  <si>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</si>
  <si>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</si>
  <si>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</si>
  <si>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</si>
  <si>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</si>
  <si>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</si>
  <si>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</si>
  <si>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</si>
  <si>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</si>
  <si>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</si>
  <si>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</si>
  <si>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</si>
  <si>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</si>
  <si>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</si>
  <si>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</si>
  <si>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</si>
  <si>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</si>
  <si>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</si>
  <si>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</si>
  <si>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</si>
  <si>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</si>
  <si>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</si>
  <si>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</si>
  <si>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</si>
  <si>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</si>
  <si>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</si>
  <si>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</si>
  <si>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</si>
  <si>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</si>
  <si>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</si>
  <si>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</si>
  <si>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</si>
  <si>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</si>
  <si>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</si>
  <si>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</si>
  <si>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</si>
  <si>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</si>
  <si>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</si>
  <si>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</si>
  <si>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</si>
  <si>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</si>
  <si>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</si>
  <si>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</si>
  <si>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</si>
  <si>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</si>
  <si>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</si>
  <si>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</si>
  <si>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</si>
  <si>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</si>
  <si>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</si>
  <si>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</si>
  <si>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</si>
  <si>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</si>
  <si>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</si>
  <si>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</si>
  <si>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</si>
  <si>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</si>
  <si>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</si>
  <si>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</si>
  <si>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</si>
  <si>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</si>
  <si>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</si>
  <si>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</si>
  <si>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</si>
  <si>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</si>
  <si>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</si>
  <si>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</si>
  <si>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</si>
  <si>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</si>
  <si>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</si>
  <si>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</si>
  <si>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</si>
  <si>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</si>
  <si>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</si>
  <si>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</si>
  <si>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</si>
  <si>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</si>
  <si>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</si>
  <si>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</si>
  <si>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</si>
  <si>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</si>
  <si>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</si>
  <si>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</si>
  <si>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</si>
  <si>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</si>
  <si>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</si>
  <si>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</si>
  <si>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</si>
  <si>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</si>
  <si>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</si>
  <si>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</si>
  <si>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</si>
  <si>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</si>
  <si>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</si>
  <si>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</si>
  <si>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</si>
  <si>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</si>
  <si>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</si>
  <si>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</si>
  <si>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</si>
  <si>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</si>
  <si>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</si>
  <si>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</si>
  <si>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</si>
  <si>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</si>
  <si>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</si>
  <si>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</si>
  <si>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</si>
  <si>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</si>
  <si>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</si>
  <si>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</si>
  <si>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</si>
  <si>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</si>
  <si>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</si>
  <si>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</si>
  <si>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</si>
  <si>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</si>
  <si>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</si>
  <si>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</si>
  <si>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</si>
  <si>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</si>
  <si>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</si>
  <si>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</si>
  <si>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</si>
  <si>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</si>
  <si>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</si>
  <si>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</si>
  <si>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</si>
  <si>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</si>
  <si>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</si>
  <si>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</si>
  <si>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</si>
  <si>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</si>
  <si>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</si>
  <si>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</si>
  <si>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</si>
  <si>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</si>
  <si>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</si>
  <si>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</si>
  <si>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</si>
  <si>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</si>
  <si>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</si>
  <si>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</si>
  <si>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</si>
  <si>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</si>
  <si>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</si>
  <si>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</si>
  <si>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</si>
  <si>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</si>
  <si>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</si>
  <si>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</si>
  <si>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</si>
  <si>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</si>
  <si>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</si>
  <si>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</si>
  <si>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</si>
  <si>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</si>
  <si>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</si>
  <si>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</si>
  <si>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</si>
  <si>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</si>
  <si>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</si>
  <si>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</si>
  <si>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</si>
  <si>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</si>
  <si>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</si>
  <si>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</si>
  <si>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</si>
  <si>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</si>
  <si>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</si>
  <si>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</si>
  <si>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</si>
  <si>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</si>
  <si>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</si>
  <si>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</si>
  <si>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</si>
  <si>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</si>
  <si>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</si>
  <si>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</si>
  <si>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</si>
  <si>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</si>
  <si>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</si>
  <si>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</si>
  <si>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</si>
  <si>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</si>
  <si>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</si>
  <si>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</si>
  <si>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</si>
  <si>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</si>
  <si>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</si>
  <si>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</si>
  <si>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</si>
  <si>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</si>
  <si>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</si>
  <si>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</si>
  <si>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</si>
  <si>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</si>
  <si>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</si>
  <si>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</si>
  <si>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</si>
  <si>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</si>
  <si>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</si>
  <si>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</si>
  <si>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</si>
  <si>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</si>
  <si>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</si>
  <si>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</si>
  <si>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</si>
  <si>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</si>
  <si>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</si>
  <si>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</si>
  <si>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</si>
  <si>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</si>
  <si>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</si>
  <si>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</si>
  <si>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</si>
  <si>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</si>
  <si>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</si>
  <si>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</si>
  <si>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</si>
  <si>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</si>
  <si>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</si>
  <si>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</si>
  <si>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</si>
  <si>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</si>
  <si>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</si>
  <si>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</si>
  <si>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</si>
  <si>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</si>
  <si>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</si>
  <si>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</si>
  <si>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</si>
  <si>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</si>
  <si>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</si>
  <si>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</si>
  <si>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</si>
  <si>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</si>
  <si>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</si>
  <si>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</si>
  <si>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</si>
  <si>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</si>
  <si>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</si>
  <si>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</si>
  <si>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</si>
  <si>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</si>
  <si>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</si>
  <si>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</si>
  <si>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</si>
  <si>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</si>
  <si>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</si>
  <si>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</si>
  <si>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</si>
  <si>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</si>
  <si>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</si>
  <si>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</si>
  <si>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</si>
  <si>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</si>
  <si>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</si>
  <si>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</si>
  <si>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</si>
  <si>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</si>
  <si>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</si>
  <si>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</si>
  <si>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</si>
  <si>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</si>
  <si>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</si>
  <si>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</si>
  <si>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</si>
  <si>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</si>
  <si>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</si>
  <si>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</si>
  <si>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</si>
  <si>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</si>
  <si>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</si>
  <si>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</si>
  <si>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</si>
  <si>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</si>
  <si>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</si>
  <si>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</si>
  <si>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</si>
  <si>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</si>
  <si>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</si>
  <si>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</si>
  <si>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</si>
  <si>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</si>
  <si>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</si>
  <si>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</si>
  <si>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</si>
  <si>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</si>
  <si>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</si>
  <si>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</si>
  <si>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</si>
  <si>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</si>
  <si>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</si>
  <si>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</si>
  <si>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</si>
  <si>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</si>
  <si>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</si>
  <si>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</si>
  <si>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</si>
  <si>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</si>
  <si>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</si>
  <si>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</si>
  <si>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</si>
  <si>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</si>
  <si>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</si>
  <si>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</si>
  <si>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</si>
  <si>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</si>
  <si>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</si>
  <si>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</si>
  <si>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</si>
  <si>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</si>
  <si>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</si>
  <si>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</si>
  <si>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</si>
  <si>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</si>
  <si>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</si>
  <si>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</si>
  <si>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</si>
  <si>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</si>
  <si>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</si>
  <si>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</si>
  <si>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</si>
  <si>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</si>
  <si>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</si>
  <si>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</si>
  <si>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</si>
  <si>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</si>
  <si>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</si>
  <si>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</si>
  <si>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</si>
  <si>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</si>
  <si>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</si>
  <si>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</si>
  <si>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</si>
  <si>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</si>
  <si>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</si>
  <si>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</si>
  <si>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</si>
  <si>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</si>
  <si>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</si>
  <si>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</si>
  <si>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</si>
  <si>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</si>
  <si>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</si>
  <si>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</si>
  <si>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</si>
  <si>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</si>
  <si>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</si>
  <si>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</si>
  <si>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</si>
  <si>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</si>
  <si>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</si>
  <si>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</si>
  <si>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</si>
  <si>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</si>
  <si>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</si>
  <si>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</si>
  <si>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</si>
  <si>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</si>
  <si>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</si>
  <si>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</si>
  <si>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</si>
  <si>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</si>
  <si>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</si>
  <si>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</si>
  <si>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</si>
  <si>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</si>
  <si>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</si>
  <si>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</si>
  <si>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</si>
  <si>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</si>
  <si>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</si>
  <si>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</si>
  <si>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</si>
  <si>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</si>
  <si>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</si>
  <si>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</si>
  <si>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</si>
  <si>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</si>
  <si>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</si>
  <si>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</si>
  <si>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</si>
  <si>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</si>
  <si>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</si>
  <si>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</si>
  <si>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</si>
  <si>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</si>
  <si>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</si>
  <si>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</si>
  <si>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</si>
  <si>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</si>
  <si>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</si>
  <si>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</si>
  <si>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</si>
  <si>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</si>
  <si>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</si>
  <si>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</si>
  <si>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</si>
  <si>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</si>
  <si>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</si>
  <si>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</si>
  <si>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</si>
  <si>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</si>
  <si>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</si>
  <si>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</si>
  <si>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</si>
  <si>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</si>
  <si>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</si>
  <si>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</si>
  <si>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</si>
  <si>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</si>
  <si>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</si>
  <si>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</si>
  <si>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</si>
  <si>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</si>
  <si>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</si>
  <si>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</si>
  <si>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</si>
  <si>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</si>
  <si>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</si>
  <si>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</si>
  <si>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</si>
  <si>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</si>
  <si>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</si>
  <si>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</si>
  <si>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</si>
  <si>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</si>
  <si>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</si>
  <si>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</si>
  <si>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</si>
  <si>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</si>
  <si>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</si>
  <si>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</si>
  <si>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</si>
  <si>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</si>
  <si>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</si>
  <si>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</si>
  <si>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</si>
  <si>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</si>
  <si>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</si>
  <si>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</si>
  <si>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</si>
  <si>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</si>
  <si>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</si>
  <si>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</si>
  <si>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</si>
  <si>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</si>
  <si>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</si>
  <si>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</si>
  <si>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</si>
  <si>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</si>
  <si>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</si>
  <si>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</si>
  <si>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</si>
  <si>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</si>
  <si>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</si>
  <si>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</si>
  <si>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</si>
  <si>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</si>
  <si>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</si>
  <si>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</si>
  <si>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</si>
  <si>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</si>
  <si>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</si>
  <si>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</si>
  <si>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</si>
  <si>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</si>
  <si>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</si>
  <si>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</si>
  <si>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</si>
  <si>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</si>
  <si>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</si>
  <si>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</si>
  <si>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</si>
  <si>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</si>
  <si>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</si>
  <si>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</si>
  <si>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</si>
  <si>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</si>
  <si>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</si>
  <si>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</si>
  <si>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</si>
  <si>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</si>
  <si>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</si>
  <si>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</si>
  <si>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</si>
  <si>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</si>
  <si>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</si>
  <si>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</si>
  <si>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</si>
  <si>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</si>
  <si>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</si>
  <si>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</si>
  <si>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</si>
  <si>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</si>
  <si>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</si>
  <si>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</si>
  <si>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</si>
  <si>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</si>
  <si>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</si>
  <si>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</si>
  <si>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</si>
  <si>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</si>
  <si>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</si>
  <si>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</si>
  <si>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</si>
  <si>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</si>
  <si>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</si>
  <si>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</si>
  <si>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</si>
  <si>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</si>
  <si>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</si>
  <si>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</si>
  <si>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</si>
  <si>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</si>
  <si>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</si>
  <si>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</si>
  <si>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</si>
  <si>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</si>
  <si>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</si>
  <si>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</si>
  <si>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</si>
  <si>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</si>
  <si>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</si>
  <si>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</si>
  <si>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</si>
  <si>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</si>
  <si>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</si>
  <si>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</si>
  <si>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</si>
  <si>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</si>
  <si>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</si>
  <si>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</si>
  <si>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</si>
  <si>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</si>
  <si>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</si>
  <si>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</si>
  <si>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</si>
  <si>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</si>
  <si>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</si>
  <si>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</si>
  <si>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</si>
  <si>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</si>
  <si>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</si>
  <si>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</si>
  <si>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</si>
  <si>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</si>
  <si>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</si>
  <si>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</si>
  <si>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</si>
  <si>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</si>
  <si>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</si>
  <si>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</si>
  <si>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</si>
  <si>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</si>
  <si>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</si>
  <si>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</si>
  <si>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</si>
  <si>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</si>
  <si>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</si>
  <si>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</si>
  <si>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</si>
  <si>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</si>
  <si>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</si>
  <si>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</si>
  <si>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</si>
  <si>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</si>
  <si>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</si>
  <si>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</si>
  <si>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</si>
  <si>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</si>
  <si>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</si>
  <si>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</si>
  <si>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</si>
  <si>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</si>
  <si>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</si>
  <si>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</si>
  <si>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</si>
  <si>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</si>
  <si>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</si>
  <si>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</si>
  <si>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</si>
  <si>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</si>
  <si>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</si>
  <si>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</si>
  <si>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</si>
  <si>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</si>
  <si>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</si>
  <si>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</si>
  <si>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</si>
  <si>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</si>
  <si>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</si>
  <si>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</si>
  <si>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</si>
  <si>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</si>
  <si>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</si>
  <si>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</si>
  <si>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</si>
  <si>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</si>
  <si>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</si>
  <si>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</si>
  <si>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</si>
  <si>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</si>
  <si>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</si>
  <si>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</si>
  <si>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</si>
  <si>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</si>
  <si>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</si>
  <si>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</si>
  <si>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</si>
  <si>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</si>
  <si>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</si>
  <si>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</si>
  <si>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</si>
  <si>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</si>
  <si>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</si>
  <si>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</si>
  <si>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</si>
  <si>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</si>
  <si>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</si>
  <si>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</si>
  <si>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</si>
  <si>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</si>
  <si>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</si>
  <si>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</si>
  <si>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</si>
  <si>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</si>
  <si>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</si>
  <si>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</si>
  <si>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</si>
  <si>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</si>
  <si>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</si>
  <si>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</si>
  <si>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</si>
  <si>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</si>
  <si>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</si>
  <si>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</si>
  <si>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</si>
  <si>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</si>
  <si>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</si>
  <si>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</si>
  <si>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</si>
  <si>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</si>
  <si>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</si>
  <si>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</si>
  <si>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</si>
  <si>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</si>
  <si>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</si>
  <si>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</si>
  <si>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</si>
  <si>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</si>
  <si>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</si>
  <si>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</si>
  <si>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</si>
  <si>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</si>
  <si>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</si>
  <si>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</si>
  <si>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</si>
  <si>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</si>
  <si>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</si>
  <si>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</si>
  <si>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</si>
  <si>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</si>
  <si>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</si>
  <si>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</si>
  <si>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</si>
  <si>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</si>
  <si>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</si>
  <si>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</si>
  <si>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</si>
  <si>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</si>
  <si>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</si>
  <si>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</si>
  <si>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</si>
  <si>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</si>
  <si>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</si>
  <si>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</si>
  <si>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</si>
  <si>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</si>
  <si>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</si>
  <si>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</si>
  <si>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</si>
  <si>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</si>
  <si>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</si>
  <si>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</si>
  <si>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</si>
  <si>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</si>
  <si>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</si>
  <si>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</si>
  <si>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</si>
  <si>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</si>
  <si>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</si>
  <si>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</si>
  <si>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</si>
  <si>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</si>
  <si>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</si>
  <si>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</si>
  <si>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</si>
  <si>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</si>
  <si>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</si>
  <si>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</si>
  <si>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</si>
  <si>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</si>
  <si>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</si>
  <si>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</si>
  <si>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</si>
  <si>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</si>
  <si>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</si>
  <si>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</si>
  <si>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</si>
  <si>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</si>
  <si>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</si>
  <si>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</si>
  <si>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</si>
  <si>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</si>
  <si>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</si>
  <si>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</si>
  <si>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</si>
  <si>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</si>
  <si>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</si>
  <si>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</si>
  <si>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</si>
  <si>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</si>
  <si>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</si>
  <si>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</si>
  <si>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</si>
  <si>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</si>
  <si>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</si>
  <si>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</si>
  <si>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</si>
  <si>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</si>
  <si>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</si>
  <si>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</si>
  <si>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</si>
  <si>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</si>
  <si>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</si>
  <si>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</si>
  <si>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</si>
  <si>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</si>
  <si>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</si>
  <si>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</si>
  <si>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</si>
  <si>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</si>
  <si>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</si>
  <si>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</si>
  <si>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</si>
  <si>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</si>
  <si>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</si>
  <si>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</si>
  <si>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</si>
  <si>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</si>
  <si>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</si>
  <si>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</si>
  <si>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</si>
  <si>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</si>
  <si>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</si>
  <si>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</si>
  <si>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</si>
  <si>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</si>
  <si>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</si>
  <si>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</si>
  <si>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</si>
  <si>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</si>
  <si>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</si>
  <si>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</si>
  <si>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</si>
  <si>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</si>
  <si>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</si>
  <si>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</si>
  <si>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</si>
  <si>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</si>
  <si>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</si>
  <si>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</si>
  <si>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</si>
  <si>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</si>
  <si>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</si>
  <si>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</si>
  <si>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</si>
  <si>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</si>
  <si>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</si>
  <si>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</si>
  <si>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</si>
  <si>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</si>
  <si>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</si>
  <si>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</si>
  <si>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</si>
  <si>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</si>
  <si>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</si>
  <si>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</si>
  <si>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</si>
  <si>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</si>
  <si>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</si>
  <si>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</si>
  <si>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</si>
  <si>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</si>
  <si>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</si>
  <si>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</si>
  <si>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</si>
  <si>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</si>
  <si>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</si>
  <si>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</si>
  <si>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</si>
  <si>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</si>
  <si>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</si>
  <si>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</si>
  <si>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</si>
  <si>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</si>
  <si>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</si>
  <si>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</si>
  <si>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</si>
  <si>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</si>
  <si>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</si>
  <si>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</si>
  <si>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</si>
  <si>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</si>
  <si>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</si>
  <si>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</si>
  <si>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</si>
  <si>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</si>
  <si>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</si>
  <si>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</si>
  <si>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</si>
  <si>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</si>
  <si>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</si>
  <si>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</si>
  <si>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</si>
  <si>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</si>
  <si>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</si>
  <si>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</si>
  <si>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</si>
  <si>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</si>
  <si>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</si>
  <si>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</si>
  <si>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</si>
  <si>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</si>
  <si>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</si>
  <si>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</si>
  <si>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</si>
  <si>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</si>
  <si>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</si>
  <si>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</si>
  <si>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</si>
  <si>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</si>
  <si>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</si>
  <si>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</si>
  <si>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</si>
  <si>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</si>
  <si>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</si>
  <si>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</si>
  <si>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</si>
  <si>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</si>
  <si>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</si>
  <si>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</si>
  <si>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</si>
  <si>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</si>
  <si>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</si>
  <si>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</si>
  <si>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</si>
  <si>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</si>
  <si>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</si>
  <si>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</si>
  <si>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</si>
  <si>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</si>
  <si>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</si>
  <si>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</si>
  <si>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</si>
  <si>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</si>
  <si>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</si>
  <si>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</si>
  <si>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</si>
  <si>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</si>
  <si>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</si>
  <si>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</si>
  <si>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</si>
  <si>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</si>
  <si>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</si>
  <si>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</si>
  <si>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</si>
  <si>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</si>
  <si>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</si>
  <si>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</si>
  <si>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</si>
  <si>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</si>
  <si>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</si>
  <si>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</si>
  <si>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</si>
  <si>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</si>
  <si>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</si>
  <si>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</si>
  <si>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</si>
  <si>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</si>
  <si>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</si>
  <si>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</si>
  <si>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</si>
  <si>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</si>
  <si>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</si>
  <si>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</si>
  <si>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</si>
  <si>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</si>
  <si>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</si>
  <si>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</si>
  <si>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</si>
  <si>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</si>
  <si>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</si>
  <si>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</si>
  <si>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</si>
  <si>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</si>
  <si>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</si>
  <si>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</si>
  <si>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</si>
  <si>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</si>
  <si>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</si>
  <si>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</si>
  <si>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</si>
  <si>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</si>
  <si>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</si>
  <si>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</si>
  <si>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</si>
  <si>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</si>
  <si>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</si>
  <si>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</si>
  <si>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</si>
  <si>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</si>
  <si>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</si>
  <si>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</si>
  <si>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</si>
  <si>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</si>
  <si>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</si>
  <si>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</si>
  <si>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</si>
  <si>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</si>
  <si>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</si>
  <si>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</si>
  <si>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</si>
  <si>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</si>
  <si>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</si>
  <si>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</si>
  <si>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</si>
  <si>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</si>
  <si>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</si>
  <si>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</si>
  <si>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</si>
  <si>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</si>
  <si>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</si>
  <si>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</si>
  <si>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</si>
  <si>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</si>
  <si>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</si>
  <si>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</si>
  <si>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</si>
  <si>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</si>
  <si>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</si>
  <si>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</si>
  <si>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</si>
  <si>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</si>
  <si>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</si>
  <si>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</si>
  <si>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</si>
  <si>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</si>
  <si>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</si>
  <si>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</si>
  <si>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</si>
  <si>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</si>
  <si>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</si>
  <si>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</si>
  <si>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</si>
  <si>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</si>
  <si>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</si>
  <si>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</si>
  <si>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</si>
  <si>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</si>
  <si>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</si>
  <si>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</si>
  <si>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</si>
  <si>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</si>
  <si>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</si>
  <si>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</si>
  <si>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</si>
  <si>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</si>
  <si>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</si>
  <si>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</si>
  <si>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</si>
  <si>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</si>
  <si>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</si>
  <si>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</si>
  <si>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</si>
  <si>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</si>
  <si>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</si>
  <si>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</si>
  <si>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</si>
  <si>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</si>
  <si>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</si>
  <si>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</si>
  <si>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</si>
  <si>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</si>
  <si>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</si>
  <si>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</si>
  <si>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</si>
  <si>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</si>
  <si>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</si>
  <si>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</si>
  <si>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</si>
  <si>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</si>
  <si>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</si>
  <si>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</si>
  <si>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</si>
  <si>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</si>
  <si>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</si>
  <si>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</si>
  <si>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</si>
  <si>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</si>
  <si>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</si>
  <si>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</si>
  <si>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</si>
  <si>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</si>
  <si>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</si>
  <si>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</si>
  <si>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</si>
  <si>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</si>
  <si>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</si>
  <si>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</si>
  <si>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</si>
  <si>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</si>
  <si>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</si>
  <si>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</si>
  <si>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</si>
  <si>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</si>
  <si>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</si>
  <si>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</si>
  <si>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</si>
  <si>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</si>
  <si>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</si>
  <si>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</si>
  <si>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</si>
  <si>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</si>
  <si>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</si>
  <si>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</si>
  <si>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</si>
  <si>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</si>
  <si>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</si>
  <si>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</si>
  <si>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</si>
  <si>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</si>
  <si>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</si>
  <si>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</si>
  <si>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</si>
  <si>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</si>
  <si>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</si>
  <si>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</si>
  <si>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</si>
  <si>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</si>
  <si>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</si>
  <si>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</si>
  <si>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</si>
  <si>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</si>
  <si>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</si>
  <si>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</si>
  <si>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</si>
  <si>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</si>
  <si>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</si>
  <si>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</si>
  <si>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</si>
  <si>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</si>
  <si>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</si>
  <si>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</si>
  <si>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</si>
  <si>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</si>
  <si>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</si>
  <si>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</si>
  <si>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</si>
  <si>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</si>
  <si>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</si>
  <si>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</si>
  <si>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</si>
  <si>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</si>
  <si>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</si>
  <si>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</si>
  <si>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</si>
  <si>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</si>
  <si>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</si>
  <si>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</si>
  <si>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</si>
  <si>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</si>
  <si>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</si>
  <si>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</si>
  <si>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</si>
  <si>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</si>
  <si>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</si>
  <si>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</si>
  <si>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</si>
  <si>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</si>
  <si>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</si>
  <si>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</si>
  <si>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</si>
  <si>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</si>
  <si>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</si>
  <si>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</si>
  <si>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</si>
  <si>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</si>
  <si>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</si>
  <si>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</si>
  <si>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</si>
  <si>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</si>
  <si>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</si>
  <si>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</si>
  <si>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</si>
  <si>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</si>
  <si>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</si>
  <si>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</si>
  <si>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</si>
  <si>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</si>
  <si>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</si>
  <si>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</si>
  <si>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</si>
  <si>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</si>
  <si>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</si>
  <si>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</si>
  <si>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</si>
  <si>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</si>
  <si>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</si>
  <si>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</si>
  <si>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</si>
  <si>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</si>
  <si>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</si>
  <si>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</si>
  <si>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</si>
  <si>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</si>
  <si>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</si>
  <si>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</si>
  <si>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</si>
  <si>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</si>
  <si>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</si>
  <si>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</si>
  <si>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</si>
  <si>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</si>
  <si>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</si>
  <si>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</si>
  <si>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</si>
  <si>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</si>
  <si>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</si>
  <si>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</si>
  <si>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</si>
  <si>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</si>
  <si>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</si>
  <si>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</si>
  <si>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</si>
  <si>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</si>
  <si>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</si>
  <si>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</si>
  <si>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</si>
  <si>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</si>
  <si>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</si>
  <si>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</si>
  <si>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</si>
  <si>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</si>
  <si>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</si>
  <si>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</si>
  <si>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</si>
  <si>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</si>
  <si>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</si>
  <si>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</si>
  <si>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</si>
  <si>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</si>
  <si>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</si>
  <si>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</si>
  <si>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</si>
  <si>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</si>
  <si>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</si>
  <si>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</si>
  <si>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</si>
  <si>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</si>
  <si>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</si>
  <si>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</si>
  <si>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</si>
  <si>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</si>
  <si>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</si>
  <si>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</si>
  <si>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</si>
  <si>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</si>
  <si>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</si>
  <si>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</si>
  <si>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</si>
  <si>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</si>
  <si>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</si>
  <si>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</si>
  <si>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</si>
  <si>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</si>
  <si>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</si>
  <si>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</si>
  <si>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</si>
  <si>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</si>
  <si>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</si>
  <si>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</si>
  <si>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</si>
  <si>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</si>
  <si>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</si>
  <si>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</si>
  <si>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</si>
  <si>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</si>
  <si>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</si>
  <si>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</si>
  <si>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</si>
  <si>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</si>
  <si>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</si>
  <si>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</si>
  <si>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</si>
  <si>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</si>
  <si>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</si>
  <si>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</si>
  <si>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</si>
  <si>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</si>
  <si>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</si>
  <si>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</si>
  <si>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</si>
  <si>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</si>
  <si>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</si>
  <si>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</si>
  <si>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</si>
  <si>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</si>
  <si>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</si>
  <si>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</si>
  <si>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</si>
  <si>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</si>
  <si>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</si>
  <si>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</si>
  <si>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</si>
  <si>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</si>
  <si>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</si>
  <si>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</si>
  <si>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</si>
  <si>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</si>
  <si>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</si>
  <si>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</si>
  <si>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</si>
  <si>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</si>
  <si>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</si>
  <si>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</si>
  <si>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</si>
  <si>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</si>
  <si>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</si>
  <si>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</si>
  <si>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</si>
  <si>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</si>
  <si>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</si>
  <si>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</si>
  <si>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</si>
  <si>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</si>
  <si>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</si>
  <si>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</si>
  <si>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</si>
  <si>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</si>
  <si>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</si>
  <si>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</si>
  <si>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</si>
  <si>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</si>
  <si>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</si>
  <si>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</si>
  <si>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</si>
  <si>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</si>
  <si>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</si>
  <si>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</si>
  <si>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</si>
  <si>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</si>
  <si>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</si>
  <si>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</si>
  <si>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</si>
  <si>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</si>
  <si>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</si>
  <si>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</si>
  <si>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</si>
  <si>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</si>
  <si>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</si>
  <si>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</si>
  <si>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</si>
  <si>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</si>
  <si>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</si>
  <si>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</si>
  <si>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</si>
  <si>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</si>
  <si>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</si>
  <si>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</si>
  <si>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</si>
  <si>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</si>
  <si>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</si>
  <si>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</si>
  <si>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</si>
  <si>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</si>
  <si>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</si>
  <si>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</si>
  <si>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</si>
  <si>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</si>
  <si>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</si>
  <si>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</si>
  <si>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</si>
  <si>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</si>
  <si>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</si>
  <si>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</si>
  <si>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</si>
  <si>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</si>
  <si>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</si>
  <si>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</si>
  <si>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</si>
  <si>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</si>
  <si>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</si>
  <si>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</si>
  <si>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</si>
  <si>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</si>
  <si>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</si>
  <si>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</si>
  <si>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</si>
  <si>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</si>
  <si>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</si>
  <si>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</si>
  <si>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</si>
  <si>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</si>
  <si>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</si>
  <si>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</si>
  <si>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</si>
  <si>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</si>
  <si>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</si>
  <si>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</si>
  <si>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</si>
  <si>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</si>
  <si>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</si>
  <si>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</si>
  <si>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</si>
  <si>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</si>
  <si>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</si>
  <si>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</si>
  <si>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</si>
  <si>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</si>
  <si>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</si>
  <si>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</si>
  <si>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</si>
  <si>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</si>
  <si>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</si>
  <si>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</si>
  <si>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</si>
  <si>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</si>
  <si>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</si>
  <si>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</si>
  <si>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</si>
  <si>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</si>
  <si>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</si>
  <si>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</si>
  <si>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</si>
  <si>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</si>
  <si>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</si>
  <si>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</si>
  <si>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</si>
  <si>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</si>
  <si>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</si>
  <si>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</si>
  <si>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</si>
  <si>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</si>
  <si>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</si>
  <si>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</si>
  <si>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</si>
  <si>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</si>
  <si>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</si>
  <si>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</si>
  <si>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</si>
  <si>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</si>
  <si>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</si>
  <si>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</si>
  <si>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</si>
  <si>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</si>
  <si>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</si>
  <si>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</si>
  <si>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</si>
  <si>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</si>
  <si>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</si>
  <si>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</si>
  <si>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</si>
  <si>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</si>
  <si>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</si>
  <si>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</si>
  <si>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</si>
  <si>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</si>
  <si>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</si>
  <si>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</si>
  <si>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</si>
  <si>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</si>
  <si>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</si>
  <si>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</si>
  <si>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</si>
  <si>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</si>
  <si>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</si>
  <si>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</si>
  <si>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</si>
  <si>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</si>
  <si>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</si>
  <si>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</si>
  <si>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</si>
  <si>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</si>
  <si>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</si>
  <si>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</si>
  <si>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</si>
  <si>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</si>
  <si>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</si>
  <si>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</si>
  <si>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</si>
  <si>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</si>
  <si>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</si>
  <si>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</si>
  <si>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</si>
  <si>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</si>
  <si>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</si>
  <si>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</si>
  <si>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</si>
  <si>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</si>
  <si>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</si>
  <si>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</si>
  <si>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</si>
  <si>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</si>
  <si>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</si>
  <si>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</si>
  <si>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</si>
  <si>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</si>
  <si>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</si>
  <si>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</si>
  <si>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</si>
  <si>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</si>
  <si>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</si>
  <si>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</si>
  <si>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</si>
  <si>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</si>
  <si>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</si>
  <si>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</si>
  <si>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</si>
  <si>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</si>
  <si>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</si>
  <si>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</si>
  <si>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</si>
  <si>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</si>
  <si>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</si>
  <si>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</si>
  <si>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</si>
  <si>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</si>
  <si>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</si>
  <si>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</si>
  <si>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</si>
  <si>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</si>
  <si>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</si>
  <si>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</si>
  <si>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</si>
  <si>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</si>
  <si>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</si>
  <si>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</si>
  <si>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</si>
  <si>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</si>
  <si>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</si>
  <si>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</si>
  <si>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</si>
  <si>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</si>
  <si>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</si>
  <si>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</si>
  <si>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</si>
  <si>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</si>
  <si>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</si>
  <si>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</si>
  <si>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</si>
  <si>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</si>
  <si>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</si>
  <si>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</si>
  <si>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</si>
  <si>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</si>
  <si>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</si>
  <si>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</si>
  <si>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</si>
  <si>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</si>
  <si>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</si>
  <si>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</si>
  <si>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</si>
  <si>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</si>
  <si>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</si>
  <si>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</si>
  <si>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</si>
  <si>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</si>
  <si>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</si>
  <si>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</si>
  <si>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</si>
  <si>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</si>
  <si>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</si>
  <si>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</si>
  <si>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</si>
  <si>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</si>
  <si>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</si>
  <si>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</si>
  <si>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</si>
  <si>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</si>
  <si>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</si>
  <si>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</si>
  <si>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</si>
  <si>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</si>
  <si>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</si>
  <si>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</si>
  <si>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</si>
  <si>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</si>
  <si>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</si>
  <si>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</si>
  <si>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</si>
  <si>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</si>
  <si>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</si>
  <si>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</si>
  <si>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</si>
  <si>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</si>
  <si>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</si>
  <si>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</si>
  <si>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</si>
  <si>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</si>
  <si>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</si>
  <si>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</si>
  <si>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</si>
  <si>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</si>
  <si>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</si>
  <si>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</si>
  <si>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</si>
  <si>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</si>
  <si>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</si>
  <si>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</si>
  <si>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</si>
  <si>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</si>
  <si>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</si>
  <si>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</si>
  <si>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</si>
  <si>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</si>
  <si>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</si>
  <si>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</si>
  <si>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</si>
  <si>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</si>
  <si>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</si>
  <si>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</si>
  <si>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</si>
  <si>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</si>
  <si>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</si>
  <si>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</si>
  <si>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</si>
  <si>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</si>
  <si>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</si>
  <si>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</si>
  <si>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</si>
  <si>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</si>
  <si>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</si>
  <si>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</si>
  <si>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</si>
  <si>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</si>
  <si>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</si>
  <si>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</si>
  <si>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</si>
  <si>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</si>
  <si>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</si>
  <si>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</si>
  <si>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</si>
  <si>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</si>
  <si>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</si>
  <si>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</si>
  <si>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</si>
  <si>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</si>
  <si>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</si>
  <si>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</si>
  <si>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</si>
  <si>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</si>
  <si>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</si>
  <si>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</si>
  <si>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</si>
  <si>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</si>
  <si>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</si>
  <si>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</si>
  <si>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</si>
  <si>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</si>
  <si>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</si>
  <si>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</si>
  <si>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</si>
  <si>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</si>
  <si>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</si>
  <si>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</si>
  <si>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</si>
  <si>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</si>
  <si>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</si>
  <si>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</si>
  <si>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</si>
  <si>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</si>
  <si>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</si>
  <si>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</si>
  <si>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</si>
  <si>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</si>
  <si>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</si>
  <si>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</si>
  <si>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</si>
  <si>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</si>
  <si>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</si>
  <si>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</si>
  <si>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</si>
  <si>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</si>
  <si>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</si>
  <si>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</si>
  <si>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</si>
  <si>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</si>
  <si>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</si>
  <si>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</si>
  <si>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</si>
  <si>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</si>
  <si>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</si>
  <si>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</si>
  <si>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</si>
  <si>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</si>
  <si>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</si>
  <si>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</si>
  <si>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</si>
  <si>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</si>
  <si>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</si>
  <si>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</si>
  <si>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</si>
  <si>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</si>
  <si>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</si>
  <si>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</si>
  <si>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</si>
  <si>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</si>
  <si>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</si>
  <si>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</si>
  <si>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</si>
  <si>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</si>
  <si>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</si>
  <si>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</si>
  <si>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</si>
  <si>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</si>
  <si>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</si>
  <si>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</si>
  <si>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</si>
  <si>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</si>
  <si>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</si>
  <si>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</si>
  <si>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</si>
  <si>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</si>
  <si>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</si>
  <si>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</si>
  <si>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</si>
  <si>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</si>
  <si>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</si>
  <si>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</si>
  <si>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</si>
  <si>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</si>
  <si>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</si>
  <si>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</si>
  <si>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</si>
  <si>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</si>
  <si>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</si>
  <si>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</si>
  <si>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</si>
  <si>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</si>
  <si>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</si>
  <si>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</si>
  <si>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</si>
  <si>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</si>
  <si>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</si>
  <si>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</si>
  <si>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</si>
  <si>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</si>
  <si>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</si>
  <si>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</si>
  <si>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</si>
  <si>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</si>
  <si>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</si>
  <si>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</si>
  <si>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</si>
  <si>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</si>
  <si>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</si>
  <si>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</si>
  <si>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</si>
  <si>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</si>
  <si>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</si>
  <si>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</si>
  <si>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</si>
  <si>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</si>
  <si>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</si>
  <si>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</si>
  <si>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</si>
  <si>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</si>
  <si>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</si>
  <si>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</si>
  <si>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</si>
  <si>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</si>
  <si>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</si>
  <si>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</si>
  <si>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</si>
  <si>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</si>
  <si>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</si>
  <si>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</si>
  <si>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</si>
  <si>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</si>
  <si>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</si>
  <si>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</si>
  <si>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</si>
  <si>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</si>
  <si>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</si>
  <si>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</si>
  <si>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</si>
  <si>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</si>
  <si>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</si>
  <si>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</si>
  <si>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</si>
  <si>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</si>
  <si>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</si>
  <si>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</si>
  <si>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</si>
  <si>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</si>
  <si>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</si>
  <si>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</si>
  <si>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</si>
  <si>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</si>
  <si>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</si>
  <si>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</si>
  <si>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</si>
  <si>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</si>
  <si>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</si>
  <si>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</si>
  <si>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</si>
  <si>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</si>
  <si>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</si>
  <si>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</si>
  <si>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</si>
  <si>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</si>
  <si>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</si>
  <si>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</si>
  <si>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</si>
  <si>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</si>
  <si>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</si>
  <si>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</si>
  <si>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</si>
  <si>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</si>
  <si>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</si>
  <si>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</si>
  <si>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</si>
  <si>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</si>
  <si>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</si>
  <si>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</si>
  <si>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</si>
  <si>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</si>
  <si>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</si>
  <si>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</si>
  <si>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</si>
  <si>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</si>
  <si>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</si>
  <si>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</si>
  <si>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</si>
  <si>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</si>
  <si>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</si>
  <si>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</si>
  <si>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</si>
  <si>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</si>
  <si>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</si>
  <si>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</si>
  <si>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</si>
  <si>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</si>
  <si>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</si>
  <si>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</si>
  <si>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</si>
  <si>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</si>
  <si>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</si>
  <si>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</si>
  <si>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</si>
  <si>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</si>
  <si>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</si>
  <si>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</si>
  <si>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</si>
  <si>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</si>
  <si>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</si>
  <si>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</si>
  <si>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</si>
  <si>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</si>
  <si>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</si>
  <si>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</si>
  <si>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</si>
  <si>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</si>
  <si>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</si>
  <si>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</si>
  <si>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</si>
  <si>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</si>
  <si>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</si>
  <si>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</si>
  <si>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</si>
  <si>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</si>
  <si>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</si>
  <si>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</si>
  <si>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</si>
  <si>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</si>
  <si>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</si>
  <si>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</si>
  <si>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</si>
  <si>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</si>
  <si>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</si>
  <si>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</si>
  <si>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</si>
  <si>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</si>
  <si>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</si>
  <si>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</si>
  <si>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</si>
  <si>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</si>
  <si>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</si>
  <si>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</si>
  <si>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</si>
  <si>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</si>
  <si>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</si>
  <si>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</si>
  <si>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</si>
  <si>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</si>
  <si>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</si>
  <si>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</si>
  <si>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</si>
  <si>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</si>
  <si>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</si>
  <si>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</si>
  <si>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</si>
  <si>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</si>
  <si>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</si>
  <si>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</si>
  <si>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</si>
  <si>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</si>
  <si>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</si>
  <si>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</si>
  <si>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</si>
  <si>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</si>
  <si>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</si>
  <si>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</si>
  <si>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</si>
  <si>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</si>
  <si>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</si>
  <si>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</si>
  <si>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</si>
  <si>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</si>
  <si>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</si>
  <si>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</si>
  <si>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</si>
  <si>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</si>
  <si>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</si>
  <si>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</si>
  <si>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</si>
  <si>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</si>
  <si>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</si>
  <si>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</si>
  <si>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</si>
  <si>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</si>
  <si>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</si>
  <si>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</si>
  <si>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</si>
  <si>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</si>
  <si>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</si>
  <si>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</si>
  <si>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</si>
  <si>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</si>
  <si>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</si>
  <si>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</si>
  <si>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</si>
  <si>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</si>
  <si>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</si>
  <si>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</si>
  <si>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</si>
  <si>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</si>
  <si>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</si>
  <si>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</si>
  <si>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</si>
  <si>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</si>
  <si>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</si>
  <si>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</si>
  <si>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</si>
  <si>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</si>
  <si>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</si>
  <si>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</si>
  <si>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</si>
  <si>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</si>
  <si>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</si>
  <si>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</si>
  <si>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</si>
  <si>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</si>
  <si>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</si>
  <si>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</si>
  <si>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</si>
  <si>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</si>
  <si>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</si>
  <si>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</si>
  <si>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</si>
  <si>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</si>
  <si>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</si>
  <si>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</si>
  <si>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</si>
  <si>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</si>
  <si>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</si>
  <si>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</si>
  <si>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</si>
  <si>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</si>
  <si>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</si>
  <si>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</si>
  <si>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</si>
  <si>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</si>
  <si>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</si>
  <si>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</si>
  <si>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</si>
  <si>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</si>
  <si>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</si>
  <si>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</si>
  <si>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</si>
  <si>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</si>
  <si>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</si>
  <si>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</si>
  <si>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</si>
  <si>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</si>
  <si>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</si>
  <si>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</si>
  <si>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</si>
  <si>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</si>
  <si>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</si>
  <si>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</si>
  <si>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</si>
  <si>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</si>
  <si>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</si>
  <si>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</si>
  <si>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</si>
  <si>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</si>
  <si>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</si>
  <si>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</si>
  <si>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</si>
  <si>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</si>
  <si>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</si>
  <si>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</si>
  <si>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</si>
  <si>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</si>
  <si>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</si>
  <si>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</si>
  <si>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</si>
  <si>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</si>
  <si>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</si>
  <si>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</si>
  <si>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</si>
  <si>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</si>
  <si>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</si>
  <si>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</si>
  <si>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</si>
  <si>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</si>
  <si>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</si>
  <si>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</si>
  <si>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</si>
  <si>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</si>
  <si>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</si>
  <si>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</si>
  <si>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</si>
  <si>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</si>
  <si>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</si>
  <si>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</si>
  <si>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</si>
  <si>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</si>
  <si>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</si>
  <si>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</si>
  <si>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</si>
  <si>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</si>
  <si>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</si>
  <si>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</si>
  <si>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</si>
  <si>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</si>
  <si>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</si>
  <si>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</si>
  <si>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</si>
  <si>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</si>
  <si>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</si>
  <si>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</si>
  <si>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</si>
  <si>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</si>
  <si>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</si>
  <si>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</si>
  <si>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</si>
  <si>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</si>
  <si>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</si>
  <si>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</si>
  <si>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</si>
  <si>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</si>
  <si>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</si>
  <si>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</si>
  <si>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</si>
  <si>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</si>
  <si>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</si>
  <si>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</si>
  <si>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</si>
  <si>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</si>
  <si>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</si>
  <si>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</si>
  <si>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</si>
  <si>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</si>
  <si>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</si>
  <si>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</si>
  <si>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</si>
  <si>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</si>
  <si>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</si>
  <si>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</si>
  <si>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</si>
  <si>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</si>
  <si>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</si>
  <si>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</si>
  <si>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</si>
  <si>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</si>
  <si>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</si>
  <si>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</si>
  <si>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</si>
  <si>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</si>
  <si>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</si>
  <si>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</si>
  <si>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</si>
  <si>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</si>
  <si>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</si>
  <si>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</si>
  <si>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</si>
  <si>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</si>
  <si>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</si>
  <si>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</si>
  <si>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</si>
  <si>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</si>
  <si>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</si>
  <si>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</si>
  <si>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</si>
  <si>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</si>
  <si>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</si>
  <si>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</si>
  <si>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</si>
  <si>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</si>
  <si>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</si>
  <si>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</si>
  <si>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</si>
  <si>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</si>
  <si>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</si>
  <si>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</si>
  <si>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</si>
  <si>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</si>
  <si>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</si>
  <si>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</si>
  <si>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</si>
  <si>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</si>
  <si>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</si>
  <si>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</si>
  <si>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</si>
  <si>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</si>
  <si>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</si>
  <si>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</si>
  <si>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</si>
  <si>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</si>
  <si>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</si>
  <si>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</si>
  <si>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</si>
  <si>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</si>
  <si>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</si>
  <si>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</si>
  <si>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</si>
  <si>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</si>
  <si>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</si>
  <si>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</si>
  <si>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</si>
  <si>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</si>
  <si>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</si>
  <si>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</si>
  <si>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</si>
  <si>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</si>
  <si>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</si>
  <si>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</si>
  <si>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</si>
  <si>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</si>
  <si>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</si>
  <si>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</si>
  <si>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</si>
  <si>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</si>
  <si>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</si>
  <si>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</si>
  <si>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</si>
  <si>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</si>
  <si>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</si>
  <si>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</si>
  <si>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</si>
  <si>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</si>
  <si>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</si>
  <si>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</si>
  <si>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</si>
  <si>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</si>
  <si>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</si>
  <si>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</si>
  <si>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</si>
  <si>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</si>
  <si>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</si>
  <si>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</si>
  <si>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</si>
  <si>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</si>
  <si>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</si>
  <si>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</si>
  <si>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</si>
  <si>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</si>
  <si>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</si>
  <si>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</si>
  <si>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</si>
  <si>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</si>
  <si>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</si>
  <si>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</si>
  <si>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</si>
  <si>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</si>
  <si>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</si>
  <si>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</si>
  <si>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</si>
  <si>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</si>
  <si>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</si>
  <si>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</si>
  <si>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</si>
  <si>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</si>
  <si>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</si>
  <si>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</si>
  <si>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</si>
  <si>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</si>
  <si>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</si>
  <si>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</si>
  <si>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</si>
  <si>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</si>
  <si>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</si>
  <si>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</si>
  <si>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</si>
  <si>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</si>
  <si>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</si>
  <si>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</si>
  <si>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</si>
  <si>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</si>
  <si>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</si>
  <si>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</si>
  <si>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</si>
  <si>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</si>
  <si>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</si>
  <si>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</si>
  <si>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</si>
  <si>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</si>
  <si>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</si>
  <si>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</si>
  <si>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</si>
  <si>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</si>
  <si>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</si>
  <si>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</si>
  <si>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</si>
  <si>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</si>
  <si>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</si>
  <si>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</si>
  <si>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</si>
  <si>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</si>
  <si>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</si>
  <si>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</si>
  <si>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</si>
  <si>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</si>
  <si>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</si>
  <si>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</si>
  <si>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</si>
  <si>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</si>
  <si>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</si>
  <si>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</si>
  <si>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</si>
  <si>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</si>
  <si>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</si>
  <si>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</si>
  <si>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</si>
  <si>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</si>
  <si>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</si>
  <si>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</si>
  <si>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</si>
  <si>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</si>
  <si>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</si>
  <si>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</si>
  <si>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</si>
  <si>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</si>
  <si>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</si>
  <si>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</si>
  <si>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</si>
  <si>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</si>
  <si>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</si>
  <si>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</si>
  <si>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</si>
  <si>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</si>
  <si>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</si>
  <si>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</si>
  <si>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</si>
  <si>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</si>
  <si>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</si>
  <si>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</si>
  <si>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</si>
  <si>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</si>
  <si>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</si>
  <si>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</si>
  <si>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</si>
  <si>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</si>
  <si>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</si>
  <si>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</si>
  <si>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</si>
  <si>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</si>
  <si>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</si>
  <si>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</si>
  <si>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</si>
  <si>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</si>
  <si>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</si>
  <si>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</si>
  <si>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</si>
  <si>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</si>
  <si>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</si>
  <si>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</si>
  <si>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</si>
  <si>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</si>
  <si>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</si>
  <si>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</si>
  <si>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</si>
  <si>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</si>
  <si>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</si>
  <si>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</si>
  <si>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</si>
  <si>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</si>
  <si>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</si>
  <si>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</si>
  <si>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</si>
  <si>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</si>
  <si>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</si>
  <si>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</si>
  <si>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</si>
  <si>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</si>
  <si>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</si>
  <si>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</si>
  <si>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</si>
  <si>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</si>
  <si>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</si>
  <si>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</si>
  <si>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</si>
  <si>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</si>
  <si>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</si>
  <si>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</si>
  <si>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</si>
  <si>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</si>
  <si>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</si>
  <si>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</si>
  <si>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</si>
  <si>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</si>
  <si>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</si>
  <si>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</si>
  <si>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</si>
  <si>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</si>
  <si>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</si>
  <si>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</si>
  <si>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</si>
  <si>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</si>
  <si>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</si>
  <si>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</si>
  <si>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</si>
  <si>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</si>
  <si>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</si>
  <si>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</si>
  <si>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</si>
  <si>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</si>
  <si>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</si>
  <si>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</si>
  <si>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</si>
  <si>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</si>
  <si>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</si>
  <si>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</si>
  <si>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</si>
  <si>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</si>
  <si>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</si>
  <si>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</si>
  <si>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</si>
  <si>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</si>
  <si>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</si>
  <si>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</si>
  <si>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</si>
  <si>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</si>
  <si>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</si>
  <si>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</si>
  <si>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</si>
  <si>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</si>
  <si>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</si>
  <si>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</si>
  <si>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</si>
  <si>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</si>
  <si>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</si>
  <si>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</si>
  <si>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</si>
  <si>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</si>
  <si>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</si>
  <si>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</si>
  <si>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</si>
  <si>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</si>
  <si>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</si>
  <si>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</si>
  <si>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</si>
  <si>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</si>
  <si>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</si>
  <si>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</si>
  <si>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</si>
  <si>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</si>
  <si>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</si>
  <si>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</si>
  <si>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</si>
  <si>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</si>
  <si>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</si>
  <si>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</si>
  <si>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</si>
  <si>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</si>
  <si>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</si>
  <si>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</si>
  <si>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</si>
  <si>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</si>
  <si>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</si>
  <si>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</si>
  <si>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</si>
  <si>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</si>
  <si>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</si>
  <si>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</si>
  <si>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</si>
  <si>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</si>
  <si>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</si>
  <si>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</si>
  <si>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</si>
  <si>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</si>
  <si>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</si>
  <si>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</si>
  <si>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</si>
  <si>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</si>
  <si>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</si>
  <si>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</si>
  <si>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</si>
  <si>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</si>
  <si>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</si>
  <si>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</si>
  <si>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</si>
  <si>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</si>
  <si>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</si>
  <si>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</si>
  <si>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</si>
  <si>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</si>
  <si>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</si>
  <si>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</si>
  <si>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</si>
  <si>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</si>
  <si>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</si>
  <si>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</si>
  <si>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</si>
  <si>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</si>
  <si>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</si>
  <si>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</si>
  <si>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</si>
  <si>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</si>
  <si>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</si>
  <si>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</si>
  <si>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</si>
  <si>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</si>
  <si>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</si>
  <si>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</si>
  <si>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</si>
  <si>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</si>
  <si>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</si>
  <si>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</si>
  <si>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</si>
  <si>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</si>
  <si>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</si>
  <si>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</si>
  <si>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</si>
  <si>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</si>
  <si>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</si>
  <si>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</si>
  <si>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</si>
  <si>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</si>
  <si>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</si>
  <si>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</si>
  <si>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</si>
  <si>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</si>
  <si>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</si>
  <si>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</si>
  <si>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</si>
  <si>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</si>
  <si>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</si>
  <si>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</si>
  <si>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</si>
  <si>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</si>
  <si>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</si>
  <si>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</si>
  <si>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</si>
  <si>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</si>
  <si>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</si>
  <si>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</si>
  <si>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</si>
  <si>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</si>
  <si>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</si>
  <si>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</si>
  <si>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</si>
  <si>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</si>
  <si>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</si>
  <si>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</si>
  <si>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</si>
  <si>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</si>
  <si>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</si>
  <si>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</si>
  <si>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</si>
  <si>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</si>
  <si>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</si>
  <si>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</si>
  <si>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</si>
  <si>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</si>
  <si>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</si>
  <si>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</si>
  <si>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</si>
  <si>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</si>
  <si>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</si>
  <si>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</si>
  <si>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</si>
  <si>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</si>
  <si>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</si>
  <si>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</si>
  <si>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</si>
  <si>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</si>
  <si>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</si>
  <si>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</si>
  <si>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</si>
  <si>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</si>
  <si>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</si>
  <si>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</si>
  <si>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</si>
  <si>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</si>
  <si>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</si>
  <si>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</si>
  <si>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</si>
  <si>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</si>
  <si>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</si>
  <si>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</si>
  <si>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</si>
  <si>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</si>
  <si>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</si>
  <si>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</si>
  <si>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</si>
  <si>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</si>
  <si>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</si>
  <si>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</si>
  <si>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</si>
  <si>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</si>
  <si>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</si>
  <si>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</si>
  <si>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</si>
  <si>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</si>
  <si>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</si>
  <si>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</si>
  <si>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</si>
  <si>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</si>
  <si>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</si>
  <si>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</si>
  <si>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</si>
  <si>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</si>
  <si>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</si>
  <si>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</si>
  <si>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</si>
  <si>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</si>
  <si>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</si>
  <si>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</si>
  <si>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</si>
  <si>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</si>
  <si>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</si>
  <si>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</si>
  <si>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</si>
  <si>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</si>
  <si>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</si>
  <si>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</si>
  <si>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</si>
  <si>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</si>
  <si>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</si>
  <si>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</si>
  <si>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</si>
  <si>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</si>
  <si>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</si>
  <si>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</si>
  <si>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</si>
  <si>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</si>
  <si>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</si>
  <si>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</si>
  <si>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</si>
  <si>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</si>
  <si>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</si>
  <si>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</si>
  <si>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</si>
  <si>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</si>
  <si>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</si>
  <si>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</si>
  <si>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</si>
  <si>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</si>
  <si>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</si>
  <si>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</si>
  <si>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</si>
  <si>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</si>
  <si>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</si>
  <si>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</si>
  <si>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</si>
  <si>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</si>
  <si>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</si>
  <si>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</si>
  <si>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</si>
  <si>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</si>
  <si>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</si>
  <si>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</si>
  <si>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</si>
  <si>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</si>
  <si>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</si>
  <si>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</si>
  <si>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</si>
  <si>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</si>
  <si>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</si>
  <si>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</si>
  <si>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</si>
  <si>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</si>
  <si>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</si>
  <si>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</si>
  <si>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</si>
  <si>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</si>
  <si>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</si>
  <si>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</si>
  <si>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</si>
  <si>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</si>
  <si>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</si>
  <si>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</si>
  <si>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</si>
  <si>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</si>
  <si>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</si>
  <si>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</si>
  <si>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</si>
  <si>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</si>
  <si>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</si>
  <si>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</si>
  <si>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</si>
  <si>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</si>
  <si>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</si>
  <si>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</si>
  <si>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</si>
  <si>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</si>
  <si>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</si>
  <si>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</si>
  <si>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</si>
  <si>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</si>
  <si>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</si>
  <si>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</si>
  <si>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</si>
  <si>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</si>
  <si>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</si>
  <si>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</si>
  <si>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</si>
  <si>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</si>
  <si>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</si>
  <si>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</si>
  <si>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</si>
  <si>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</si>
  <si>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</si>
  <si>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</si>
  <si>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</si>
  <si>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</si>
  <si>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</si>
  <si>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</si>
  <si>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</si>
  <si>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</si>
  <si>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</si>
  <si>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</si>
  <si>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</si>
  <si>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</si>
  <si>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</si>
  <si>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</si>
  <si>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</si>
  <si>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</si>
  <si>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</si>
  <si>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</si>
  <si>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</si>
  <si>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</si>
  <si>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</si>
  <si>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</si>
  <si>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</si>
  <si>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</si>
  <si>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</si>
  <si>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</si>
  <si>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</si>
  <si>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</si>
  <si>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</si>
  <si>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</si>
  <si>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</si>
  <si>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</si>
  <si>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</si>
  <si>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</si>
  <si>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</si>
  <si>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</si>
  <si>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</si>
  <si>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</si>
  <si>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</si>
  <si>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</si>
  <si>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</si>
  <si>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</si>
  <si>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</si>
  <si>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</si>
  <si>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</si>
  <si>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</si>
  <si>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</si>
  <si>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</si>
  <si>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</si>
  <si>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</si>
  <si>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</si>
  <si>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</si>
  <si>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</si>
  <si>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</si>
  <si>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</si>
  <si>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</si>
  <si>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</si>
  <si>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</si>
  <si>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</si>
  <si>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</si>
  <si>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</si>
  <si>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</si>
  <si>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</si>
  <si>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</si>
  <si>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</si>
  <si>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</si>
  <si>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</si>
  <si>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</si>
  <si>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</si>
  <si>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</si>
  <si>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</si>
  <si>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</si>
  <si>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</si>
  <si>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</si>
  <si>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</si>
  <si>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</si>
  <si>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</si>
  <si>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</si>
  <si>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</si>
  <si>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</si>
  <si>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</si>
  <si>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</si>
  <si>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</si>
  <si>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</si>
  <si>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</si>
  <si>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</si>
  <si>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</si>
  <si>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</si>
  <si>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</si>
  <si>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</si>
  <si>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</si>
  <si>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</si>
  <si>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</si>
  <si>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</si>
  <si>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</si>
  <si>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</si>
  <si>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</si>
  <si>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</si>
  <si>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</si>
  <si>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</si>
  <si>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</si>
  <si>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</si>
  <si>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</si>
  <si>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</si>
  <si>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</si>
  <si>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</si>
  <si>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</si>
  <si>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</si>
  <si>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</si>
  <si>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</si>
  <si>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</si>
  <si>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</si>
  <si>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</si>
  <si>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</si>
  <si>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</si>
  <si>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</si>
  <si>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</si>
  <si>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</si>
  <si>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</si>
  <si>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</si>
  <si>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</si>
  <si>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</si>
  <si>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</si>
  <si>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</si>
  <si>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</si>
  <si>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</si>
  <si>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</si>
  <si>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</si>
  <si>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</si>
  <si>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</si>
  <si>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</si>
  <si>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</si>
  <si>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</si>
  <si>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</si>
  <si>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</si>
  <si>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</si>
  <si>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</si>
  <si>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</si>
  <si>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</si>
  <si>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</si>
  <si>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</si>
  <si>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</si>
  <si>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</si>
  <si>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</si>
  <si>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</si>
  <si>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</si>
  <si>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</si>
  <si>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</si>
  <si>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</si>
  <si>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</si>
  <si>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</si>
  <si>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</si>
  <si>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</si>
  <si>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</si>
  <si>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</si>
  <si>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</si>
  <si>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</si>
  <si>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</si>
  <si>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</si>
  <si>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</si>
  <si>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</si>
  <si>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</si>
  <si>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</si>
  <si>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</si>
  <si>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</si>
  <si>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</si>
  <si>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</si>
  <si>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</si>
  <si>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</si>
  <si>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</si>
  <si>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</si>
  <si>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</si>
  <si>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</si>
  <si>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</si>
  <si>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</si>
  <si>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</si>
  <si>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</si>
  <si>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</si>
  <si>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</si>
  <si>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</si>
  <si>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</si>
  <si>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</si>
  <si>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</si>
  <si>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</si>
  <si>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</si>
  <si>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</si>
  <si>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</si>
  <si>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</si>
  <si>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</si>
  <si>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</si>
  <si>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</si>
  <si>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</si>
  <si>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</si>
  <si>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</si>
  <si>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</si>
  <si>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</si>
  <si>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</si>
  <si>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</si>
  <si>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</si>
  <si>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</si>
  <si>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</si>
  <si>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</si>
  <si>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</si>
  <si>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</si>
  <si>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</si>
  <si>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</si>
  <si>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</si>
  <si>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</si>
  <si>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</si>
  <si>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</si>
  <si>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</si>
  <si>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</si>
  <si>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</si>
  <si>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</si>
  <si>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</si>
  <si>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</si>
  <si>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</si>
  <si>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</si>
  <si>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</si>
  <si>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</si>
  <si>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</si>
  <si>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</si>
  <si>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</si>
  <si>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</si>
  <si>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</si>
  <si>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</si>
  <si>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</si>
  <si>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</si>
  <si>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</si>
  <si>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</si>
  <si>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</si>
  <si>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</si>
  <si>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</si>
  <si>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</si>
  <si>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</si>
  <si>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</si>
  <si>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</si>
  <si>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</si>
  <si>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</si>
  <si>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</si>
  <si>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</si>
  <si>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</si>
  <si>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</si>
  <si>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</si>
  <si>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</si>
  <si>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</si>
  <si>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</si>
  <si>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</si>
  <si>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</si>
  <si>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</si>
  <si>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</si>
  <si>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</si>
  <si>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</si>
  <si>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</si>
  <si>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</si>
  <si>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</si>
  <si>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</si>
  <si>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</si>
  <si>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</si>
  <si>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</si>
  <si>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</si>
  <si>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</si>
  <si>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</si>
  <si>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</si>
  <si>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</si>
  <si>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</si>
  <si>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</si>
  <si>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</si>
  <si>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</si>
  <si>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</si>
  <si>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</si>
  <si>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</si>
  <si>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</si>
  <si>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</si>
  <si>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</si>
  <si>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</si>
  <si>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</si>
  <si>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</si>
  <si>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</si>
  <si>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</si>
  <si>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</si>
  <si>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</si>
  <si>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</si>
  <si>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</si>
  <si>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</si>
  <si>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</si>
  <si>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</si>
  <si>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</si>
  <si>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</si>
  <si>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</si>
  <si>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</si>
  <si>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</si>
  <si>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</si>
  <si>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</si>
  <si>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</si>
  <si>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</si>
  <si>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</si>
  <si>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</si>
  <si>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</si>
  <si>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</si>
  <si>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</si>
  <si>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</si>
  <si>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</si>
  <si>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</si>
  <si>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</si>
  <si>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</si>
  <si>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</si>
  <si>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</si>
  <si>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</si>
  <si>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</si>
  <si>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</si>
  <si>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</si>
  <si>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</si>
  <si>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</si>
  <si>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</si>
  <si>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</si>
  <si>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</si>
  <si>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</si>
  <si>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</si>
  <si>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</si>
  <si>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</si>
  <si>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</si>
  <si>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</si>
  <si>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</si>
  <si>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</si>
  <si>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</si>
  <si>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</si>
  <si>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</si>
  <si>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</si>
  <si>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</si>
  <si>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</si>
  <si>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</si>
  <si>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</si>
  <si>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</si>
  <si>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</si>
  <si>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</si>
  <si>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</si>
  <si>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</si>
  <si>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</si>
  <si>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</si>
  <si>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</si>
  <si>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</si>
  <si>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</si>
  <si>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</si>
  <si>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</si>
  <si>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</si>
  <si>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</si>
  <si>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</si>
  <si>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</si>
  <si>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</si>
  <si>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</si>
  <si>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</si>
  <si>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</si>
  <si>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</si>
  <si>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</si>
  <si>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</si>
  <si>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</si>
  <si>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</si>
  <si>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</si>
  <si>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</si>
  <si>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</si>
  <si>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</si>
  <si>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</si>
  <si>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</si>
  <si>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</si>
  <si>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</si>
  <si>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</si>
  <si>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</si>
  <si>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</si>
  <si>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</si>
  <si>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</si>
  <si>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</si>
  <si>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</si>
  <si>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</si>
  <si>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</si>
  <si>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</si>
  <si>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</si>
  <si>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</si>
  <si>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</si>
  <si>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</si>
  <si>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</si>
  <si>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</si>
  <si>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</si>
  <si>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</si>
  <si>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</si>
  <si>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</si>
  <si>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</si>
  <si>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</si>
  <si>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</si>
  <si>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</si>
  <si>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</si>
  <si>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</si>
  <si>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</si>
  <si>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</si>
  <si>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</si>
  <si>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</si>
  <si>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</si>
  <si>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</si>
  <si>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</si>
  <si>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</si>
  <si>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</si>
  <si>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</si>
  <si>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</si>
  <si>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</si>
  <si>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</si>
  <si>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</si>
  <si>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</si>
  <si>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</si>
  <si>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</si>
  <si>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</si>
  <si>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</si>
  <si>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</si>
  <si>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</si>
  <si>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</si>
  <si>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</si>
  <si>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</si>
  <si>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</si>
  <si>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</si>
  <si>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</si>
  <si>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</si>
  <si>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</si>
  <si>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</si>
  <si>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</si>
  <si>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</si>
  <si>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</si>
  <si>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</si>
  <si>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</si>
  <si>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</si>
  <si>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</si>
  <si>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</si>
  <si>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</si>
  <si>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</si>
  <si>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</si>
  <si>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</si>
  <si>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</si>
  <si>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</si>
  <si>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</si>
  <si>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</si>
  <si>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</si>
  <si>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</si>
  <si>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</si>
  <si>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</si>
  <si>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</si>
  <si>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</si>
  <si>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</si>
  <si>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</si>
  <si>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</si>
  <si>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</si>
  <si>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</si>
  <si>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</si>
  <si>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</si>
  <si>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</si>
  <si>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</si>
  <si>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</si>
  <si>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</si>
  <si>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</si>
  <si>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</si>
  <si>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</si>
  <si>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</si>
  <si>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</si>
  <si>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</si>
  <si>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</si>
  <si>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</si>
  <si>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</si>
  <si>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</si>
  <si>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</si>
  <si>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</si>
  <si>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</si>
  <si>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</si>
  <si>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</si>
  <si>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</si>
  <si>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</si>
  <si>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</si>
  <si>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</si>
  <si>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</si>
  <si>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</si>
  <si>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</si>
  <si>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</si>
  <si>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</si>
  <si>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</si>
  <si>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</si>
  <si>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</si>
  <si>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</si>
  <si>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</si>
  <si>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</si>
  <si>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</si>
  <si>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</si>
  <si>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</si>
  <si>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</si>
  <si>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</si>
  <si>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</si>
  <si>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</si>
  <si>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</si>
  <si>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</si>
  <si>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</si>
  <si>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</si>
  <si>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</si>
  <si>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</si>
  <si>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</si>
  <si>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</si>
  <si>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</si>
  <si>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</si>
  <si>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</si>
  <si>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</si>
  <si>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</si>
  <si>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</si>
  <si>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</si>
  <si>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</si>
  <si>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</si>
  <si>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</si>
  <si>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</si>
  <si>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</si>
  <si>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</si>
  <si>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</si>
  <si>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</si>
  <si>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</si>
  <si>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</si>
  <si>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</si>
  <si>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</si>
  <si>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</si>
  <si>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</si>
  <si>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</si>
  <si>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</si>
  <si>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</si>
  <si>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</si>
  <si>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</si>
  <si>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</si>
  <si>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</si>
  <si>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</si>
  <si>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</si>
  <si>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</si>
  <si>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</si>
  <si>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</si>
  <si>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</si>
  <si>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</si>
  <si>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</si>
  <si>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</si>
  <si>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</si>
  <si>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</si>
  <si>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</si>
  <si>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</si>
  <si>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</si>
  <si>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</si>
  <si>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</si>
  <si>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</si>
  <si>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</si>
  <si>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</si>
  <si>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</si>
  <si>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</si>
  <si>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</si>
  <si>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</si>
  <si>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</si>
  <si>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</si>
  <si>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</si>
  <si>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</si>
  <si>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</si>
  <si>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</si>
  <si>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</si>
  <si>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</si>
  <si>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</si>
  <si>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</si>
  <si>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</si>
  <si>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</si>
  <si>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</si>
  <si>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</si>
  <si>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</si>
  <si>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</si>
  <si>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</si>
  <si>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</si>
  <si>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</si>
  <si>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</si>
  <si>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</si>
  <si>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</si>
  <si>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</si>
  <si>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</si>
  <si>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</si>
  <si>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</si>
  <si>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</si>
  <si>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</si>
  <si>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</si>
  <si>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</si>
  <si>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</si>
  <si>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</si>
  <si>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</si>
  <si>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</si>
  <si>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</si>
  <si>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</si>
  <si>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</si>
  <si>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</si>
  <si>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</si>
  <si>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</si>
  <si>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</si>
  <si>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</si>
  <si>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</si>
  <si>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</si>
  <si>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</si>
  <si>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</si>
  <si>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</si>
  <si>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</si>
  <si>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</si>
  <si>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</si>
  <si>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</si>
  <si>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</si>
  <si>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</si>
  <si>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</si>
  <si>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</si>
  <si>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</si>
  <si>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</si>
  <si>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</si>
  <si>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</si>
  <si>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</si>
  <si>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</si>
  <si>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</si>
  <si>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</si>
  <si>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</si>
  <si>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</si>
  <si>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</si>
  <si>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</si>
  <si>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</si>
  <si>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</si>
  <si>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</si>
  <si>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</si>
  <si>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</si>
  <si>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</si>
  <si>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</si>
  <si>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</si>
  <si>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</si>
  <si>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</si>
  <si>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</si>
  <si>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</si>
  <si>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</si>
  <si>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</si>
  <si>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</si>
  <si>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</si>
  <si>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</si>
  <si>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</si>
  <si>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</si>
  <si>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</si>
  <si>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</si>
  <si>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</si>
  <si>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</si>
  <si>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</si>
  <si>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</si>
  <si>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</si>
  <si>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</si>
  <si>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</si>
  <si>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</si>
  <si>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</si>
  <si>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</si>
  <si>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</si>
  <si>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</si>
  <si>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</si>
  <si>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</si>
  <si>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</si>
  <si>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</si>
  <si>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</si>
  <si>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</si>
  <si>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</si>
  <si>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</si>
  <si>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</si>
  <si>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</si>
  <si>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</si>
  <si>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</si>
  <si>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</si>
  <si>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</si>
  <si>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</si>
  <si>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</si>
  <si>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</si>
  <si>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</si>
  <si>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</si>
  <si>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</si>
  <si>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</si>
  <si>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</si>
  <si>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</si>
  <si>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</si>
  <si>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</si>
  <si>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</si>
  <si>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</si>
  <si>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</si>
  <si>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</si>
  <si>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</si>
  <si>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</si>
  <si>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</si>
  <si>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</si>
  <si>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</si>
  <si>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</si>
  <si>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</si>
  <si>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</si>
  <si>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</si>
  <si>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</si>
  <si>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</si>
  <si>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</si>
  <si>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</si>
  <si>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</si>
  <si>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</si>
  <si>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</si>
  <si>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</si>
  <si>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</si>
  <si>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</si>
  <si>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</si>
  <si>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</si>
  <si>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</si>
  <si>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</si>
  <si>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</si>
  <si>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</si>
  <si>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</si>
  <si>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</si>
  <si>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</si>
  <si>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</si>
  <si>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</si>
  <si>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</si>
  <si>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</si>
  <si>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</si>
  <si>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</si>
  <si>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</si>
  <si>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</si>
  <si>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</si>
  <si>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</si>
  <si>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</si>
  <si>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</si>
  <si>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</si>
  <si>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</si>
  <si>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</si>
  <si>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</si>
  <si>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</si>
  <si>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</si>
  <si>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</si>
  <si>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</si>
  <si>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</si>
  <si>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</si>
  <si>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</si>
  <si>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</si>
  <si>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</si>
  <si>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</si>
  <si>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</si>
  <si>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</si>
  <si>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</si>
  <si>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</si>
  <si>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</si>
  <si>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</si>
  <si>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</si>
  <si>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</si>
  <si>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</si>
  <si>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</si>
  <si>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</si>
  <si>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</si>
  <si>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</si>
  <si>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</si>
  <si>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</si>
  <si>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</si>
  <si>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</si>
  <si>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</si>
  <si>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</si>
  <si>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</si>
  <si>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</si>
  <si>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</si>
  <si>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</si>
  <si>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</si>
  <si>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</si>
  <si>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</si>
  <si>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</si>
  <si>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</si>
  <si>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</si>
  <si>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</si>
  <si>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</si>
  <si>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</si>
  <si>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</si>
  <si>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</si>
  <si>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</si>
  <si>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</si>
  <si>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</si>
  <si>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</si>
  <si>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</si>
  <si>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</si>
  <si>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</si>
  <si>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</si>
  <si>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</si>
  <si>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</si>
  <si>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</si>
  <si>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</si>
  <si>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</si>
  <si>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</si>
  <si>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</si>
  <si>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</si>
  <si>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</si>
  <si>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</si>
  <si>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</si>
  <si>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</si>
  <si>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</si>
  <si>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</si>
  <si>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</si>
  <si>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</si>
  <si>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</si>
  <si>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</si>
  <si>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</si>
  <si>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</si>
  <si>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</si>
  <si>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</si>
  <si>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</si>
  <si>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</si>
  <si>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</si>
  <si>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</si>
  <si>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</si>
  <si>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</si>
  <si>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</si>
  <si>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</si>
  <si>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</si>
  <si>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</si>
  <si>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</si>
  <si>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</si>
  <si>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</si>
  <si>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</si>
  <si>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</si>
  <si>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</si>
  <si>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</si>
  <si>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</si>
  <si>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</si>
  <si>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</si>
  <si>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</si>
  <si>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</si>
  <si>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</si>
  <si>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</si>
  <si>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</si>
  <si>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</si>
  <si>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</si>
  <si>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</si>
  <si>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</si>
  <si>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</si>
  <si>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</si>
  <si>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</si>
  <si>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</si>
  <si>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</si>
  <si>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</si>
  <si>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</si>
  <si>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</si>
  <si>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</si>
  <si>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</si>
  <si>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</si>
  <si>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</si>
  <si>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</si>
  <si>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</si>
  <si>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</si>
  <si>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</si>
  <si>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</si>
  <si>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</si>
  <si>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</si>
  <si>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</si>
  <si>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</si>
  <si>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</si>
  <si>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</si>
  <si>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</si>
  <si>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</si>
  <si>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</si>
  <si>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</si>
  <si>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</si>
  <si>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</si>
  <si>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</si>
  <si>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</si>
  <si>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</si>
  <si>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</si>
  <si>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</si>
  <si>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</si>
  <si>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</si>
  <si>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</si>
  <si>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</si>
  <si>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</si>
  <si>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</si>
  <si>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</si>
  <si>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</si>
  <si>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</si>
  <si>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</si>
  <si>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</si>
  <si>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</si>
  <si>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</si>
  <si>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</si>
  <si>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</si>
  <si>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</si>
  <si>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</si>
  <si>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</si>
  <si>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</si>
  <si>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</si>
  <si>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</si>
  <si>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</si>
  <si>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</si>
  <si>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</si>
  <si>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</si>
  <si>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</si>
  <si>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</si>
  <si>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</si>
  <si>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</si>
  <si>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</si>
  <si>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</si>
  <si>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</si>
  <si>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</si>
  <si>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</si>
  <si>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</si>
  <si>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</si>
  <si>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</si>
  <si>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</si>
  <si>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</si>
  <si>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</si>
  <si>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</si>
  <si>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</si>
  <si>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</si>
  <si>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</si>
  <si>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</si>
  <si>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</si>
  <si>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</si>
  <si>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</si>
  <si>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</si>
  <si>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</si>
  <si>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</si>
  <si>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</si>
  <si>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</si>
  <si>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</si>
  <si>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</si>
  <si>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</si>
  <si>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</si>
  <si>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</si>
  <si>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</si>
  <si>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</si>
  <si>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</si>
  <si>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</si>
  <si>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</si>
  <si>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</si>
  <si>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</si>
  <si>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</si>
  <si>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</si>
  <si>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</si>
  <si>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</si>
  <si>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</si>
  <si>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</si>
  <si>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</si>
  <si>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</si>
  <si>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</si>
  <si>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</si>
  <si>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</si>
  <si>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</si>
  <si>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</si>
  <si>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</si>
  <si>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</si>
  <si>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</si>
  <si>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</si>
  <si>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</si>
  <si>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</si>
  <si>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</si>
  <si>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</si>
  <si>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</si>
  <si>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</si>
  <si>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</si>
  <si>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</si>
  <si>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</si>
  <si>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</si>
  <si>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</si>
  <si>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</si>
  <si>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</si>
  <si>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</si>
  <si>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</si>
  <si>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</si>
  <si>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</si>
  <si>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</si>
  <si>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</si>
  <si>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</si>
  <si>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</si>
  <si>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</si>
  <si>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</si>
  <si>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</si>
  <si>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</si>
  <si>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</si>
  <si>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</si>
  <si>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</si>
  <si>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</si>
  <si>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</si>
  <si>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</si>
  <si>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</si>
  <si>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</si>
  <si>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</si>
  <si>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</si>
  <si>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</si>
  <si>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</si>
  <si>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</si>
  <si>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</si>
  <si>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</si>
  <si>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</si>
  <si>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</si>
  <si>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</si>
  <si>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</si>
  <si>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</si>
  <si>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</si>
  <si>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</si>
  <si>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</si>
  <si>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</si>
  <si>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</si>
  <si>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</si>
  <si>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</si>
  <si>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</si>
  <si>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</si>
  <si>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</si>
  <si>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</si>
  <si>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</si>
  <si>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</si>
  <si>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</si>
  <si>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</si>
  <si>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</si>
  <si>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</si>
  <si>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</si>
  <si>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</si>
  <si>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</si>
  <si>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</si>
  <si>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</si>
  <si>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</si>
  <si>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</si>
  <si>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</si>
  <si>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</si>
  <si>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</si>
  <si>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</si>
  <si>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</si>
  <si>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</si>
  <si>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</si>
  <si>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</si>
  <si>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</si>
  <si>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</si>
  <si>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</si>
  <si>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</si>
  <si>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</si>
  <si>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</si>
  <si>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</si>
  <si>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</si>
  <si>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</si>
  <si>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</si>
  <si>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</si>
  <si>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</si>
  <si>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</si>
  <si>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</si>
  <si>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</si>
  <si>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</si>
  <si>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</si>
  <si>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</si>
  <si>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</si>
  <si>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</si>
  <si>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</si>
  <si>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</si>
  <si>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</si>
  <si>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</si>
  <si>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</si>
  <si>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</si>
  <si>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</si>
  <si>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</si>
  <si>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</si>
  <si>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</si>
  <si>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</si>
  <si>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</si>
  <si>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</si>
  <si>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</si>
  <si>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</si>
  <si>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</si>
  <si>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</si>
  <si>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</si>
  <si>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</si>
  <si>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</si>
  <si>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</si>
  <si>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</si>
  <si>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</si>
  <si>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</si>
  <si>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</si>
  <si>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</si>
  <si>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</si>
  <si>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</si>
  <si>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</si>
  <si>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</si>
  <si>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</si>
  <si>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</si>
  <si>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</si>
  <si>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</si>
  <si>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</si>
  <si>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</si>
  <si>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</si>
  <si>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</si>
  <si>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</si>
  <si>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</si>
  <si>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</si>
  <si>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</si>
  <si>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</si>
  <si>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</si>
  <si>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</si>
  <si>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</si>
  <si>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</si>
  <si>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</si>
  <si>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</si>
  <si>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</si>
  <si>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</si>
  <si>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</si>
  <si>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</si>
  <si>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</si>
  <si>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</si>
  <si>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</si>
  <si>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</si>
  <si>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</si>
  <si>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</si>
  <si>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</si>
  <si>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</si>
  <si>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</si>
  <si>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</si>
  <si>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</si>
  <si>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</si>
  <si>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</si>
  <si>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</si>
  <si>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</si>
  <si>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</si>
  <si>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</si>
  <si>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</si>
  <si>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</si>
  <si>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</si>
  <si>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</si>
  <si>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</si>
  <si>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</si>
  <si>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</si>
  <si>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</si>
  <si>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</si>
  <si>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</si>
  <si>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</si>
  <si>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</si>
  <si>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</si>
  <si>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</si>
  <si>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</si>
  <si>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</si>
  <si>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</si>
  <si>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</si>
  <si>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</si>
  <si>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</si>
  <si>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</si>
  <si>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</si>
  <si>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</si>
  <si>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</si>
  <si>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</si>
  <si>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</si>
  <si>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</si>
  <si>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</si>
  <si>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</si>
  <si>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</si>
  <si>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</si>
  <si>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</si>
  <si>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</si>
  <si>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</si>
  <si>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</si>
  <si>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</si>
  <si>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</si>
  <si>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</si>
  <si>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</si>
  <si>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</si>
  <si>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</si>
  <si>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</si>
  <si>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</si>
  <si>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</si>
  <si>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</si>
  <si>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</si>
  <si>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</si>
  <si>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</si>
  <si>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</si>
  <si>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</si>
  <si>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</si>
  <si>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</si>
  <si>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</si>
  <si>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</si>
  <si>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</si>
  <si>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</si>
  <si>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</si>
  <si>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</si>
  <si>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</si>
  <si>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</si>
  <si>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</si>
  <si>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</si>
  <si>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</si>
  <si>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</si>
  <si>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</si>
  <si>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</si>
  <si>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</si>
  <si>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</si>
  <si>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</si>
  <si>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</si>
  <si>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</si>
  <si>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</si>
  <si>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</si>
  <si>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</si>
  <si>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</si>
  <si>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</si>
  <si>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</si>
  <si>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</si>
  <si>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</si>
  <si>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</si>
  <si>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</si>
  <si>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</si>
  <si>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</si>
  <si>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</si>
  <si>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</si>
  <si>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</si>
  <si>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</si>
  <si>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</si>
  <si>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</si>
  <si>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</si>
  <si>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</si>
  <si>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</si>
  <si>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</si>
  <si>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</si>
  <si>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</si>
  <si>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</si>
  <si>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</si>
  <si>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</si>
  <si>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</si>
  <si>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</si>
  <si>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</si>
  <si>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</si>
  <si>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</si>
  <si>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</si>
  <si>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</si>
  <si>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</si>
  <si>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</si>
  <si>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</si>
  <si>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</si>
  <si>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</si>
  <si>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</si>
  <si>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</si>
  <si>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</si>
  <si>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</si>
  <si>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</si>
  <si>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</si>
  <si>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</si>
  <si>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</si>
  <si>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</si>
  <si>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</si>
  <si>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</si>
  <si>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</si>
  <si>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</si>
  <si>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</si>
  <si>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</si>
  <si>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</si>
  <si>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</si>
  <si>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</si>
  <si>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</si>
  <si>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</si>
  <si>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</si>
  <si>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</si>
  <si>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</si>
  <si>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</si>
  <si>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</si>
  <si>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</si>
  <si>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</si>
  <si>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</si>
  <si>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</si>
  <si>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</si>
  <si>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</si>
  <si>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</si>
  <si>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</si>
  <si>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</si>
  <si>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</si>
  <si>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</si>
  <si>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</si>
  <si>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</si>
  <si>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</si>
  <si>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</si>
  <si>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</si>
  <si>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</si>
  <si>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</si>
  <si>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</si>
  <si>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</si>
  <si>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</si>
  <si>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</si>
  <si>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</si>
  <si>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</si>
  <si>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</si>
  <si>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</si>
  <si>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</si>
  <si>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</si>
  <si>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</si>
  <si>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</si>
  <si>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</si>
  <si>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</si>
  <si>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</si>
  <si>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</si>
  <si>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</si>
  <si>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</si>
  <si>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</si>
  <si>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</si>
  <si>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</si>
  <si>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</si>
  <si>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</si>
  <si>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</si>
  <si>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</si>
  <si>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</si>
  <si>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</si>
  <si>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</si>
  <si>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</si>
  <si>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</si>
  <si>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</si>
  <si>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</si>
  <si>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</si>
  <si>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</si>
  <si>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</si>
  <si>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</si>
  <si>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</si>
  <si>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</si>
  <si>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</si>
  <si>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</si>
  <si>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</si>
  <si>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</si>
  <si>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</si>
  <si>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</si>
  <si>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</si>
  <si>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</si>
  <si>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</si>
  <si>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</si>
  <si>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</si>
  <si>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</si>
  <si>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</si>
  <si>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</si>
  <si>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</si>
  <si>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</si>
  <si>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</si>
  <si>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</si>
  <si>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</si>
  <si>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</si>
  <si>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</si>
  <si>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</si>
  <si>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</si>
  <si>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</si>
  <si>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</si>
  <si>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</si>
  <si>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</si>
  <si>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</si>
  <si>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</si>
  <si>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</si>
  <si>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</si>
  <si>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</si>
  <si>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</si>
  <si>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</si>
  <si>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</si>
  <si>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</si>
  <si>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</si>
  <si>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</si>
  <si>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</si>
  <si>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</si>
  <si>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</si>
  <si>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</si>
  <si>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</si>
  <si>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</si>
  <si>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</si>
  <si>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</si>
  <si>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</si>
  <si>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</si>
  <si>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</si>
  <si>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</si>
  <si>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</si>
  <si>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</si>
  <si>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</si>
  <si>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</si>
  <si>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</si>
  <si>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</si>
  <si>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</si>
  <si>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</si>
  <si>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</si>
  <si>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</si>
  <si>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</si>
  <si>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</si>
  <si>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</si>
  <si>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</si>
  <si>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</si>
  <si>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</si>
  <si>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</si>
  <si>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</si>
  <si>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</si>
  <si>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</si>
  <si>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</si>
  <si>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</si>
  <si>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</si>
  <si>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</si>
  <si>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</si>
  <si>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</si>
  <si>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</si>
  <si>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</si>
  <si>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</si>
  <si>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</si>
  <si>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</si>
  <si>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</si>
  <si>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</si>
  <si>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</si>
  <si>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</si>
  <si>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</si>
  <si>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</si>
  <si>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</si>
  <si>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</si>
  <si>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</si>
  <si>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</si>
  <si>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</si>
  <si>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</si>
  <si>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</si>
  <si>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</si>
  <si>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</si>
  <si>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</si>
  <si>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</si>
  <si>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</si>
  <si>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</si>
  <si>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</si>
  <si>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</si>
  <si>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</si>
  <si>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</si>
  <si>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</si>
  <si>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</si>
  <si>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</si>
  <si>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</si>
  <si>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</si>
  <si>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</si>
  <si>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</si>
  <si>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</si>
  <si>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</si>
  <si>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</si>
  <si>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</si>
  <si>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</si>
  <si>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</si>
  <si>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</si>
  <si>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</si>
  <si>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</si>
  <si>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</si>
  <si>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</si>
  <si>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</si>
  <si>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</si>
  <si>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</si>
  <si>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</si>
  <si>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</si>
  <si>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</si>
  <si>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</si>
  <si>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</si>
  <si>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</si>
  <si>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</si>
  <si>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</si>
  <si>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</si>
  <si>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</si>
  <si>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</si>
  <si>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</si>
  <si>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</si>
  <si>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</si>
  <si>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</si>
  <si>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</si>
  <si>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</si>
  <si>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</si>
  <si>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</si>
  <si>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</si>
  <si>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</si>
  <si>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</si>
  <si>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</si>
  <si>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</si>
  <si>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</si>
  <si>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</si>
  <si>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</si>
  <si>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</si>
  <si>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</si>
  <si>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</si>
  <si>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</si>
  <si>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</si>
  <si>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</si>
  <si>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</si>
  <si>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</si>
  <si>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</si>
  <si>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</si>
  <si>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</si>
  <si>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</si>
  <si>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</si>
  <si>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</si>
  <si>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</si>
  <si>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</si>
  <si>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</si>
  <si>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</si>
  <si>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</si>
  <si>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</si>
  <si>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</si>
  <si>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</si>
  <si>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</si>
  <si>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</si>
  <si>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</si>
  <si>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</si>
  <si>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</si>
  <si>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</si>
  <si>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</si>
  <si>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</si>
  <si>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</si>
  <si>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</si>
  <si>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</si>
  <si>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</si>
  <si>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</si>
  <si>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</si>
  <si>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</si>
  <si>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</si>
  <si>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</si>
  <si>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</si>
  <si>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</si>
  <si>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</si>
  <si>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</si>
  <si>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</si>
  <si>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</si>
  <si>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</si>
  <si>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</si>
  <si>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</si>
  <si>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</si>
  <si>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</si>
  <si>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</si>
  <si>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</si>
  <si>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</si>
  <si>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</si>
  <si>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</si>
  <si>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</si>
  <si>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</si>
  <si>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</si>
  <si>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</si>
  <si>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</si>
  <si>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</si>
  <si>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</si>
  <si>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</si>
  <si>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</si>
  <si>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</si>
  <si>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</si>
  <si>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</si>
  <si>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</si>
  <si>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</si>
  <si>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</si>
  <si>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</si>
  <si>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</si>
  <si>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</si>
  <si>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</si>
  <si>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</si>
  <si>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</si>
  <si>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</si>
  <si>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</si>
  <si>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</si>
  <si>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</si>
  <si>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</si>
  <si>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</si>
  <si>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</si>
  <si>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</si>
  <si>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</si>
  <si>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</si>
  <si>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</si>
  <si>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</si>
  <si>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</si>
  <si>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</si>
  <si>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</si>
  <si>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</si>
  <si>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</si>
  <si>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</si>
  <si>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</si>
  <si>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</si>
  <si>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</si>
  <si>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</si>
  <si>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</si>
  <si>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</si>
  <si>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</si>
  <si>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</si>
  <si>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</si>
  <si>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</si>
  <si>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</si>
  <si>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</si>
  <si>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</si>
  <si>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</si>
  <si>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</si>
  <si>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</si>
  <si>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</si>
  <si>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</si>
  <si>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</si>
  <si>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</si>
  <si>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</si>
  <si>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</si>
  <si>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</si>
  <si>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</si>
  <si>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</si>
  <si>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</si>
  <si>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</si>
  <si>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</si>
  <si>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</si>
  <si>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</si>
  <si>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</si>
  <si>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</si>
  <si>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</si>
  <si>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</si>
  <si>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</si>
  <si>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</si>
  <si>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</si>
  <si>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</si>
  <si>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</si>
  <si>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</si>
  <si>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</si>
  <si>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</si>
  <si>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</si>
  <si>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</si>
  <si>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</si>
  <si>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</si>
  <si>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</si>
  <si>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</si>
  <si>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</si>
  <si>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</si>
  <si>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</si>
  <si>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</si>
  <si>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</si>
  <si>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</si>
  <si>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</si>
  <si>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</si>
  <si>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</si>
  <si>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</si>
  <si>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</si>
  <si>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</si>
  <si>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</si>
  <si>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</si>
  <si>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</si>
  <si>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</si>
  <si>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</si>
  <si>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</si>
  <si>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</si>
  <si>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</si>
  <si>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</si>
  <si>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</si>
  <si>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</si>
  <si>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</si>
  <si>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</si>
  <si>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</si>
  <si>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</si>
  <si>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</si>
  <si>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</si>
  <si>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</si>
  <si>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</si>
  <si>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</si>
  <si>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</si>
  <si>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</si>
  <si>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</si>
  <si>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</si>
  <si>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</si>
  <si>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</si>
  <si>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</si>
  <si>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</si>
  <si>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</si>
  <si>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</si>
  <si>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</si>
  <si>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</si>
  <si>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</si>
  <si>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</si>
  <si>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</si>
  <si>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</si>
  <si>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</si>
  <si>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</si>
  <si>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</si>
  <si>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</si>
  <si>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</si>
  <si>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</si>
  <si>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</si>
  <si>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</si>
  <si>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</si>
  <si>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</si>
  <si>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</si>
  <si>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</si>
  <si>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</si>
  <si>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</si>
  <si>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</si>
  <si>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</si>
  <si>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</si>
  <si>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</si>
  <si>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</si>
  <si>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</si>
  <si>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</si>
  <si>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</si>
  <si>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</si>
  <si>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</si>
  <si>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</si>
  <si>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</si>
  <si>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</si>
  <si>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</si>
  <si>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</si>
  <si>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</si>
  <si>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</si>
  <si>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</si>
  <si>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</si>
  <si>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</si>
  <si>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</si>
  <si>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</si>
  <si>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</si>
  <si>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</si>
  <si>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</si>
  <si>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</si>
  <si>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</si>
  <si>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</si>
  <si>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</si>
  <si>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</si>
  <si>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</si>
  <si>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</si>
  <si>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</si>
  <si>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</si>
  <si>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</si>
  <si>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</si>
  <si>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</si>
  <si>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</si>
  <si>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</si>
  <si>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</si>
  <si>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</si>
  <si>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</si>
  <si>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</si>
  <si>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</si>
  <si>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</si>
  <si>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</si>
  <si>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</si>
  <si>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</si>
  <si>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</si>
  <si>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</si>
  <si>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</si>
  <si>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</si>
  <si>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</si>
  <si>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</si>
  <si>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</si>
  <si>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</si>
  <si>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</si>
  <si>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</si>
  <si>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</si>
  <si>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</si>
  <si>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</si>
  <si>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</si>
  <si>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</si>
  <si>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</si>
  <si>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</si>
  <si>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</si>
  <si>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</si>
  <si>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</si>
  <si>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</si>
  <si>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</si>
  <si>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</si>
  <si>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</si>
  <si>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</si>
  <si>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</si>
  <si>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</si>
  <si>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</si>
  <si>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</si>
  <si>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</si>
  <si>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</si>
  <si>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</si>
  <si>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</si>
  <si>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</si>
  <si>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</si>
  <si>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</si>
  <si>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</si>
  <si>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</si>
  <si>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</si>
  <si>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</si>
  <si>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</si>
  <si>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</si>
  <si>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</si>
  <si>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</si>
  <si>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</si>
  <si>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</si>
  <si>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</si>
  <si>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</si>
  <si>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</si>
  <si>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</si>
  <si>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</si>
  <si>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</si>
  <si>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</si>
  <si>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</si>
  <si>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</si>
  <si>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</si>
  <si>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</si>
  <si>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</si>
  <si>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</si>
  <si>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</si>
  <si>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</si>
  <si>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</si>
  <si>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</si>
  <si>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</si>
  <si>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</si>
  <si>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</si>
  <si>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</si>
  <si>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</si>
  <si>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</si>
  <si>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</si>
  <si>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</si>
  <si>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</si>
  <si>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</si>
  <si>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</si>
  <si>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</si>
  <si>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</si>
  <si>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</si>
  <si>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</si>
  <si>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</si>
  <si>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</si>
  <si>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</si>
  <si>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</si>
  <si>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</si>
  <si>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</si>
  <si>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</si>
  <si>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</si>
  <si>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</si>
  <si>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</si>
  <si>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</si>
  <si>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</si>
  <si>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</si>
  <si>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</si>
  <si>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</si>
  <si>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</si>
  <si>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</si>
  <si>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</si>
  <si>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</si>
  <si>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</si>
  <si>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</si>
  <si>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</si>
  <si>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</si>
  <si>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</si>
  <si>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</si>
  <si>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</si>
  <si>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</si>
  <si>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</si>
  <si>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</si>
  <si>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</si>
  <si>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</si>
  <si>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</si>
  <si>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</si>
  <si>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</si>
  <si>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</si>
  <si>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</si>
  <si>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</si>
  <si>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</si>
  <si>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</si>
  <si>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</si>
  <si>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</si>
  <si>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</si>
  <si>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</si>
  <si>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</si>
  <si>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</si>
  <si>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</si>
  <si>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</si>
  <si>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</si>
  <si>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</si>
  <si>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</si>
  <si>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</si>
  <si>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</si>
  <si>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</si>
  <si>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</si>
  <si>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</si>
  <si>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</si>
  <si>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</si>
  <si>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</si>
  <si>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</si>
  <si>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</si>
  <si>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</si>
  <si>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</si>
  <si>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</si>
  <si>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</si>
  <si>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</si>
  <si>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</si>
  <si>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</si>
  <si>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</si>
  <si>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</si>
  <si>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</si>
  <si>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</si>
  <si>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</si>
  <si>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</si>
  <si>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</si>
  <si>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</si>
  <si>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</si>
  <si>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</si>
  <si>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</si>
  <si>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</si>
  <si>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</si>
  <si>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</si>
  <si>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</si>
  <si>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</si>
  <si>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</si>
  <si>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</si>
  <si>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</si>
  <si>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</si>
  <si>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</si>
  <si>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</si>
  <si>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</si>
  <si>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</si>
  <si>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</si>
  <si>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</si>
  <si>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</si>
  <si>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</si>
  <si>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</si>
  <si>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</si>
  <si>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</si>
  <si>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</si>
  <si>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</si>
  <si>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</si>
  <si>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</si>
  <si>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</si>
  <si>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</si>
  <si>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</si>
  <si>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</si>
  <si>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</si>
  <si>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</si>
  <si>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</si>
  <si>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</si>
  <si>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</si>
  <si>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</si>
  <si>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</si>
  <si>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</si>
  <si>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</si>
  <si>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</si>
  <si>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</si>
  <si>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</si>
  <si>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</si>
  <si>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</si>
  <si>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</si>
  <si>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</si>
  <si>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</si>
  <si>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</si>
  <si>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</si>
  <si>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</si>
  <si>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</si>
  <si>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</si>
  <si>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</si>
  <si>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</si>
  <si>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</si>
  <si>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</si>
  <si>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</si>
  <si>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</si>
  <si>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</si>
  <si>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</si>
  <si>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</si>
  <si>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</si>
  <si>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</si>
  <si>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</si>
  <si>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</si>
  <si>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</si>
  <si>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</si>
  <si>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</si>
  <si>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</si>
  <si>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</si>
  <si>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</si>
  <si>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</si>
  <si>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</si>
  <si>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</si>
  <si>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</si>
  <si>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</si>
  <si>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</si>
  <si>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</si>
  <si>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</si>
  <si>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</si>
  <si>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</si>
  <si>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</si>
  <si>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</si>
  <si>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</si>
  <si>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</si>
  <si>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</si>
  <si>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</si>
  <si>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</si>
  <si>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</si>
  <si>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</si>
  <si>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</si>
  <si>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</si>
  <si>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</si>
  <si>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</si>
  <si>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</si>
  <si>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</si>
  <si>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</si>
  <si>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</si>
  <si>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</si>
  <si>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</si>
  <si>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</si>
  <si>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</si>
  <si>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</si>
  <si>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</si>
  <si>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</si>
  <si>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</si>
  <si>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</si>
  <si>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</si>
  <si>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</si>
  <si>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</si>
  <si>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</si>
  <si>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</si>
  <si>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</si>
  <si>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</si>
  <si>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</si>
  <si>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</si>
  <si>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</si>
  <si>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</si>
  <si>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</si>
  <si>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</si>
  <si>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</si>
  <si>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</si>
  <si>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</si>
  <si>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</si>
  <si>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</si>
  <si>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</si>
  <si>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</si>
  <si>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</si>
  <si>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</si>
  <si>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</si>
  <si>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</si>
  <si>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</si>
  <si>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</si>
  <si>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</si>
  <si>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</si>
  <si>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</si>
  <si>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</si>
  <si>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</si>
  <si>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</si>
  <si>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</si>
  <si>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</si>
  <si>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</si>
  <si>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</si>
  <si>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</si>
  <si>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</si>
  <si>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</si>
  <si>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</si>
  <si>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</si>
  <si>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</si>
  <si>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</si>
  <si>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</si>
  <si>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</si>
  <si>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</si>
  <si>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</si>
  <si>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</si>
  <si>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</si>
  <si>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</si>
  <si>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</si>
  <si>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</si>
  <si>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</si>
  <si>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</si>
  <si>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</si>
  <si>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</si>
  <si>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</si>
  <si>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</si>
  <si>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</si>
  <si>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</si>
  <si>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</si>
  <si>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</si>
  <si>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</si>
  <si>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</si>
  <si>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</si>
  <si>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</si>
  <si>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</si>
  <si>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</si>
  <si>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</si>
  <si>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</si>
  <si>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</si>
  <si>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</si>
  <si>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</si>
  <si>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</si>
  <si>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</si>
  <si>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</si>
  <si>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</si>
  <si>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</si>
  <si>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</si>
  <si>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</si>
  <si>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</si>
  <si>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</si>
  <si>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</si>
  <si>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</si>
  <si>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</si>
  <si>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</si>
  <si>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</si>
  <si>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</si>
  <si>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</si>
  <si>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</si>
  <si>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</si>
  <si>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</si>
  <si>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</si>
  <si>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</si>
  <si>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</si>
  <si>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</si>
  <si>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</si>
  <si>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</si>
  <si>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</si>
  <si>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</si>
  <si>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</si>
  <si>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</si>
  <si>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</si>
  <si>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</si>
  <si>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</si>
  <si>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</si>
  <si>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</si>
  <si>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</si>
  <si>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</si>
  <si>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</si>
  <si>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</si>
  <si>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</si>
  <si>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</si>
  <si>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</si>
  <si>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</si>
  <si>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</si>
  <si>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</si>
  <si>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</si>
  <si>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</si>
  <si>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</si>
  <si>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</si>
  <si>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</si>
  <si>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</si>
  <si>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</si>
  <si>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</si>
  <si>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</si>
  <si>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</si>
  <si>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</si>
  <si>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</si>
  <si>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</si>
  <si>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</si>
  <si>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</si>
  <si>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</si>
  <si>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</si>
  <si>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</si>
  <si>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</si>
  <si>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</si>
  <si>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</si>
  <si>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</si>
  <si>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</si>
  <si>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</si>
  <si>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</si>
  <si>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</si>
  <si>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</si>
  <si>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</si>
  <si>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</si>
  <si>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</si>
  <si>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</si>
  <si>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</si>
  <si>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</si>
  <si>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</si>
  <si>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</si>
  <si>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</si>
  <si>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</si>
  <si>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</si>
  <si>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</si>
  <si>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</si>
  <si>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</si>
  <si>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</si>
  <si>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</si>
  <si>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</si>
  <si>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</si>
  <si>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</si>
  <si>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</si>
  <si>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</si>
  <si>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</si>
  <si>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</si>
  <si>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</si>
  <si>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</si>
  <si>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</si>
  <si>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</si>
  <si>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</si>
  <si>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</si>
  <si>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</si>
  <si>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</si>
  <si>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</si>
  <si>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</si>
  <si>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</si>
  <si>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</si>
  <si>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</si>
  <si>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</si>
  <si>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</si>
  <si>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</si>
  <si>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</si>
  <si>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</si>
  <si>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</si>
  <si>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</si>
  <si>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</si>
  <si>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</si>
  <si>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</si>
  <si>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</si>
  <si>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</si>
  <si>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</si>
  <si>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</si>
  <si>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</si>
  <si>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</si>
  <si>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</si>
  <si>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</si>
  <si>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</si>
  <si>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</si>
  <si>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</si>
  <si>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</si>
  <si>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</si>
  <si>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</si>
  <si>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</si>
  <si>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</si>
  <si>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</si>
  <si>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</si>
  <si>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</si>
  <si>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</si>
  <si>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</si>
  <si>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</si>
  <si>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</si>
  <si>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</si>
  <si>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</si>
  <si>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</si>
  <si>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</si>
  <si>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</si>
  <si>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</si>
  <si>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</si>
  <si>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</si>
  <si>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</si>
  <si>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</si>
  <si>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</si>
  <si>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</si>
  <si>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</si>
  <si>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</si>
  <si>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</si>
  <si>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</si>
  <si>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</si>
  <si>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</si>
  <si>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</si>
  <si>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</si>
  <si>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</si>
  <si>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</si>
  <si>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</si>
  <si>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</si>
  <si>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</si>
  <si>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</si>
  <si>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</si>
  <si>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</si>
  <si>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</si>
  <si>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</si>
  <si>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</si>
  <si>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</si>
  <si>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</si>
  <si>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</si>
  <si>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</si>
  <si>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</si>
  <si>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</si>
  <si>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</si>
  <si>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</si>
  <si>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</si>
  <si>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</si>
  <si>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</si>
  <si>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</si>
  <si>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</si>
  <si>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</si>
  <si>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</si>
  <si>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</si>
  <si>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</si>
  <si>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</si>
  <si>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</si>
  <si>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</si>
  <si>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</si>
  <si>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</si>
  <si>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</si>
  <si>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</si>
  <si>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</si>
  <si>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</si>
  <si>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</si>
  <si>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</si>
  <si>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</si>
  <si>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</si>
  <si>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</si>
  <si>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</si>
  <si>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</si>
  <si>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</si>
  <si>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</si>
  <si>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</si>
  <si>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</si>
  <si>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</si>
  <si>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</si>
  <si>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</si>
  <si>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</si>
  <si>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</si>
  <si>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</si>
  <si>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</si>
  <si>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</si>
  <si>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</si>
  <si>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</si>
  <si>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</si>
  <si>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</si>
  <si>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</si>
  <si>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</si>
  <si>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</si>
  <si>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</si>
  <si>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</si>
  <si>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</si>
  <si>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</si>
  <si>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</si>
  <si>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</si>
  <si>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</si>
  <si>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</si>
  <si>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</si>
  <si>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</si>
  <si>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</si>
  <si>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</si>
  <si>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</si>
  <si>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</si>
  <si>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</si>
  <si>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</si>
  <si>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</si>
  <si>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</si>
  <si>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</si>
  <si>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</si>
  <si>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</si>
  <si>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</si>
  <si>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</si>
  <si>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</si>
  <si>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</si>
  <si>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</si>
  <si>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</si>
  <si>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</si>
  <si>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</si>
  <si>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</si>
  <si>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</si>
  <si>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</si>
  <si>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</si>
  <si>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</si>
  <si>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</si>
  <si>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</si>
  <si>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</si>
  <si>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</si>
  <si>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</si>
  <si>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</si>
  <si>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</si>
  <si>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</si>
  <si>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</si>
  <si>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</si>
  <si>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</si>
  <si>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</si>
  <si>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</si>
  <si>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</si>
  <si>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</si>
  <si>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</si>
  <si>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</si>
  <si>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</si>
  <si>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</si>
  <si>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</si>
  <si>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</si>
  <si>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</si>
  <si>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</si>
  <si>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</si>
  <si>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</si>
  <si>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</si>
  <si>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</si>
  <si>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</si>
  <si>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</si>
  <si>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</si>
  <si>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</si>
  <si>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</si>
  <si>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</si>
  <si>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</si>
  <si>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</si>
  <si>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</si>
  <si>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</si>
  <si>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</si>
  <si>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</si>
  <si>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</si>
  <si>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</si>
  <si>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</si>
  <si>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</si>
  <si>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</si>
  <si>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</si>
  <si>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</si>
  <si>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</si>
  <si>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</si>
  <si>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</si>
  <si>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</si>
  <si>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</si>
  <si>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</si>
  <si>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</si>
  <si>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</si>
  <si>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</si>
  <si>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</si>
  <si>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</si>
  <si>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</si>
  <si>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</si>
  <si>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</si>
  <si>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</si>
  <si>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</si>
  <si>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</si>
  <si>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</si>
  <si>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</si>
  <si>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</si>
  <si>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</si>
  <si>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</si>
  <si>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</si>
  <si>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</si>
  <si>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</si>
  <si>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</si>
  <si>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</si>
  <si>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</si>
  <si>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</si>
  <si>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</si>
  <si>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</si>
  <si>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</si>
  <si>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</si>
  <si>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</si>
  <si>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</si>
  <si>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</si>
  <si>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</si>
  <si>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</si>
  <si>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</si>
  <si>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</si>
  <si>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</si>
  <si>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</si>
  <si>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</si>
  <si>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</si>
  <si>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</si>
  <si>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</si>
  <si>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</si>
  <si>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</si>
  <si>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</si>
  <si>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</si>
  <si>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</si>
  <si>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</si>
  <si>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</si>
  <si>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</si>
  <si>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</si>
  <si>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</si>
  <si>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</si>
  <si>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</si>
  <si>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</si>
  <si>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</si>
  <si>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</si>
  <si>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</si>
  <si>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</si>
  <si>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</si>
  <si>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</si>
  <si>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</si>
  <si>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</si>
  <si>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</si>
  <si>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</si>
  <si>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</si>
  <si>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</si>
  <si>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</si>
  <si>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</si>
  <si>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</si>
  <si>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</si>
  <si>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</si>
  <si>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</si>
  <si>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</si>
  <si>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</si>
  <si>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</si>
  <si>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</si>
  <si>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</si>
  <si>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</si>
  <si>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</si>
  <si>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</si>
  <si>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</si>
  <si>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</si>
  <si>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</si>
  <si>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</si>
  <si>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</si>
  <si>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</si>
  <si>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</si>
  <si>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</si>
  <si>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</si>
  <si>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</si>
  <si>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</si>
  <si>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</si>
  <si>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</si>
  <si>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</si>
  <si>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</si>
  <si>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</si>
  <si>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</si>
  <si>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</si>
  <si>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</si>
  <si>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</si>
  <si>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</si>
  <si>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</si>
  <si>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</si>
  <si>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</si>
  <si>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</si>
  <si>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</si>
  <si>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</si>
  <si>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</si>
  <si>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</si>
  <si>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</si>
  <si>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</si>
  <si>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</si>
  <si>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</si>
  <si>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</si>
  <si>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</si>
  <si>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</si>
  <si>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</si>
  <si>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</si>
  <si>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</si>
  <si>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</si>
  <si>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</si>
  <si>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</si>
  <si>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</si>
  <si>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</si>
  <si>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</si>
  <si>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</si>
  <si>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</si>
  <si>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</si>
  <si>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</si>
  <si>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</si>
  <si>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</si>
  <si>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</si>
  <si>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</si>
  <si>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</si>
  <si>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</si>
  <si>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</si>
  <si>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</si>
  <si>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</si>
  <si>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</si>
  <si>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</si>
  <si>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</si>
  <si>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</si>
  <si>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</si>
  <si>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</si>
  <si>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</si>
  <si>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</si>
  <si>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</si>
  <si>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</si>
  <si>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</si>
  <si>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</si>
  <si>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</si>
  <si>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</si>
  <si>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</si>
  <si>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</si>
  <si>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</si>
  <si>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</si>
  <si>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</si>
  <si>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</si>
  <si>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</si>
  <si>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</si>
  <si>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</si>
  <si>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</si>
  <si>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</si>
  <si>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</si>
  <si>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</si>
  <si>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</si>
  <si>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</si>
  <si>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</si>
  <si>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</si>
  <si>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</si>
  <si>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</si>
  <si>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</si>
  <si>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</si>
  <si>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</si>
  <si>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</si>
  <si>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</si>
  <si>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</si>
  <si>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</si>
  <si>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</si>
  <si>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</si>
  <si>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</si>
  <si>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</si>
  <si>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</si>
  <si>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</si>
  <si>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</si>
  <si>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</si>
  <si>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</si>
  <si>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</si>
  <si>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</si>
  <si>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</si>
  <si>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</si>
  <si>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</si>
  <si>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</si>
  <si>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</si>
  <si>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</si>
  <si>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</si>
  <si>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</si>
  <si>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</si>
  <si>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</si>
  <si>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</si>
  <si>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</si>
  <si>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</si>
  <si>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</si>
  <si>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</si>
  <si>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</si>
  <si>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</si>
  <si>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</si>
  <si>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</si>
  <si>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</si>
  <si>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</si>
  <si>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</si>
  <si>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</si>
  <si>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</si>
  <si>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</si>
  <si>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</si>
  <si>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</si>
  <si>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</si>
  <si>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</si>
  <si>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</si>
  <si>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</si>
  <si>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</si>
  <si>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</si>
  <si>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</si>
  <si>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</si>
  <si>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</si>
  <si>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</si>
  <si>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</si>
  <si>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</si>
  <si>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</si>
  <si>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</si>
  <si>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</si>
  <si>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</si>
  <si>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</si>
  <si>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</si>
  <si>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</si>
  <si>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</si>
  <si>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</si>
  <si>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</si>
  <si>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</si>
  <si>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</si>
  <si>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</si>
  <si>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</si>
  <si>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</si>
  <si>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</si>
  <si>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</si>
  <si>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</si>
  <si>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</si>
  <si>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</si>
  <si>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</si>
  <si>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</si>
  <si>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</si>
  <si>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</si>
  <si>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</si>
  <si>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</si>
  <si>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</si>
  <si>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</si>
  <si>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</si>
  <si>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</si>
  <si>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</si>
  <si>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</si>
  <si>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</si>
  <si>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</si>
  <si>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</si>
  <si>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</si>
  <si>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</si>
  <si>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</si>
  <si>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</si>
  <si>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</si>
  <si>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</si>
  <si>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</si>
  <si>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</si>
  <si>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</si>
  <si>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</si>
  <si>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</si>
  <si>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</si>
  <si>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</si>
  <si>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</si>
  <si>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</si>
  <si>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</si>
  <si>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</si>
  <si>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</si>
  <si>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</si>
  <si>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</si>
  <si>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</si>
  <si>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</si>
  <si>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</si>
  <si>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</si>
  <si>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</si>
  <si>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</si>
  <si>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</si>
  <si>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</si>
  <si>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</si>
  <si>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</si>
  <si>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</si>
  <si>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</si>
  <si>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</si>
  <si>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</si>
  <si>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</si>
  <si>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</si>
  <si>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</si>
  <si>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</si>
  <si>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</si>
  <si>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</si>
  <si>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</si>
  <si>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</si>
  <si>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</si>
  <si>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</si>
  <si>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</si>
  <si>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</si>
  <si>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</si>
  <si>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</si>
  <si>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</si>
  <si>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</si>
  <si>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</si>
  <si>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</si>
  <si>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</si>
  <si>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</si>
  <si>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</si>
  <si>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</si>
  <si>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</si>
  <si>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</si>
  <si>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</si>
  <si>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</si>
  <si>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</si>
  <si>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</si>
  <si>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</si>
  <si>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</si>
  <si>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</si>
  <si>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</si>
  <si>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</si>
  <si>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</si>
  <si>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</si>
  <si>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</si>
  <si>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</si>
  <si>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</si>
  <si>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</si>
  <si>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</si>
  <si>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</si>
  <si>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</si>
  <si>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</si>
  <si>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</si>
  <si>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</si>
  <si>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</si>
  <si>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</si>
  <si>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</si>
  <si>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</si>
  <si>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</si>
  <si>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</si>
  <si>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</si>
  <si>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</si>
  <si>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</si>
  <si>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</si>
  <si>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</si>
  <si>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</si>
  <si>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</si>
  <si>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</si>
  <si>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</si>
  <si>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</si>
  <si>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</si>
  <si>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</si>
  <si>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</si>
  <si>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</si>
  <si>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</si>
  <si>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</si>
  <si>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</si>
  <si>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</si>
  <si>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</si>
  <si>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</si>
  <si>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</si>
  <si>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</si>
  <si>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</si>
  <si>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</si>
  <si>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</si>
  <si>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</si>
  <si>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</si>
  <si>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</si>
  <si>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</si>
  <si>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</si>
  <si>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</si>
  <si>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</si>
  <si>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</si>
  <si>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</si>
  <si>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</si>
  <si>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</si>
  <si>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</si>
  <si>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</si>
  <si>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</si>
  <si>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</si>
  <si>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</si>
  <si>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</si>
  <si>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</si>
  <si>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</si>
  <si>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</si>
  <si>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</si>
  <si>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</si>
  <si>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</si>
  <si>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</si>
  <si>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</si>
  <si>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</si>
  <si>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</si>
  <si>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</si>
  <si>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</si>
  <si>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</si>
  <si>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</si>
  <si>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</si>
  <si>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</si>
  <si>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</si>
  <si>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</si>
  <si>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</si>
  <si>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</si>
  <si>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</si>
  <si>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</si>
  <si>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</si>
  <si>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</si>
  <si>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</si>
  <si>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</si>
  <si>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</si>
  <si>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</si>
  <si>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</si>
  <si>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</si>
  <si>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</si>
  <si>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</si>
  <si>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</si>
  <si>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</si>
  <si>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</si>
  <si>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</si>
  <si>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</si>
  <si>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</si>
  <si>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</si>
  <si>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</si>
  <si>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</si>
  <si>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</si>
  <si>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</si>
  <si>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</si>
  <si>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</si>
  <si>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</si>
  <si>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</si>
  <si>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</si>
  <si>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</si>
  <si>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</si>
  <si>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</si>
  <si>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</si>
  <si>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</si>
  <si>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</si>
  <si>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</si>
  <si>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</si>
  <si>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</si>
  <si>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</si>
  <si>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</si>
  <si>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</si>
  <si>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</si>
  <si>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</si>
  <si>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</si>
  <si>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</si>
  <si>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</si>
  <si>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</si>
  <si>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</si>
  <si>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</si>
  <si>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</si>
  <si>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</si>
  <si>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</si>
  <si>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</si>
  <si>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</si>
  <si>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</si>
  <si>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</si>
  <si>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</si>
  <si>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</si>
  <si>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</si>
  <si>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</si>
  <si>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</si>
  <si>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</si>
  <si>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</si>
  <si>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</si>
  <si>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</si>
  <si>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</si>
  <si>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</si>
  <si>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</si>
  <si>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</si>
  <si>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</si>
  <si>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</si>
  <si>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</si>
  <si>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</si>
  <si>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</si>
  <si>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</si>
  <si>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</si>
  <si>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</si>
  <si>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</si>
  <si>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</si>
  <si>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</si>
  <si>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</si>
  <si>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</si>
  <si>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</si>
  <si>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</si>
  <si>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</si>
  <si>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</si>
  <si>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</si>
  <si>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</si>
  <si>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</si>
  <si>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</si>
  <si>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</si>
  <si>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</si>
  <si>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</si>
  <si>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</si>
  <si>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</si>
  <si>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</si>
  <si>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</si>
  <si>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</si>
  <si>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</si>
  <si>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</si>
  <si>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</si>
  <si>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</si>
  <si>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</si>
  <si>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</si>
  <si>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</si>
  <si>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</si>
  <si>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</si>
  <si>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</si>
  <si>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</si>
  <si>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</si>
  <si>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</si>
  <si>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</si>
  <si>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</si>
  <si>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</si>
  <si>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</si>
  <si>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</si>
  <si>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</si>
  <si>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</si>
  <si>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</si>
  <si>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</si>
  <si>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</si>
  <si>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</si>
  <si>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</si>
  <si>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</si>
  <si>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</si>
  <si>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</si>
  <si>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</si>
  <si>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</si>
  <si>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</si>
  <si>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</si>
  <si>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</si>
  <si>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</si>
  <si>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</si>
  <si>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</si>
  <si>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</si>
  <si>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</si>
  <si>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</si>
  <si>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</si>
  <si>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</si>
  <si>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</si>
  <si>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</si>
  <si>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</si>
  <si>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</si>
  <si>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</si>
  <si>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</si>
  <si>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</si>
  <si>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</si>
  <si>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</si>
  <si>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</si>
  <si>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</si>
  <si>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</si>
  <si>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</si>
  <si>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</si>
  <si>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</si>
  <si>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</si>
  <si>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</si>
  <si>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</si>
  <si>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</si>
  <si>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</si>
  <si>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</si>
  <si>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</si>
  <si>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</si>
  <si>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</si>
  <si>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</si>
  <si>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</si>
  <si>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</si>
  <si>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</si>
  <si>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</si>
  <si>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</si>
  <si>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</si>
  <si>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</si>
  <si>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</si>
  <si>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</si>
  <si>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</si>
  <si>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</si>
  <si>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</si>
  <si>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</si>
  <si>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</si>
  <si>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</si>
  <si>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</si>
  <si>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</si>
  <si>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</si>
  <si>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</si>
  <si>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</si>
  <si>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</si>
  <si>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</si>
  <si>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</si>
  <si>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</si>
  <si>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</si>
  <si>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</si>
  <si>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</si>
  <si>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</si>
  <si>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</si>
  <si>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</si>
  <si>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</si>
  <si>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</si>
  <si>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</si>
  <si>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</si>
  <si>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</si>
  <si>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</si>
  <si>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</si>
  <si>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</si>
  <si>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</si>
  <si>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</si>
  <si>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</si>
  <si>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</si>
  <si>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</si>
  <si>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</si>
  <si>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</si>
  <si>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</si>
  <si>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</si>
  <si>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</si>
  <si>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</si>
  <si>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</si>
  <si>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</si>
  <si>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</si>
  <si>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</si>
  <si>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</si>
  <si>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</si>
  <si>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</si>
  <si>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</si>
  <si>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</si>
  <si>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</si>
  <si>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</si>
  <si>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</si>
  <si>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</si>
  <si>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</si>
  <si>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</si>
  <si>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</si>
  <si>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</si>
  <si>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</si>
  <si>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</si>
  <si>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</si>
  <si>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</si>
  <si>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</si>
  <si>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</si>
  <si>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</si>
  <si>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</si>
  <si>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</si>
  <si>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</si>
  <si>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</si>
  <si>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</si>
  <si>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</si>
  <si>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</si>
  <si>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</si>
  <si>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</si>
  <si>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</si>
  <si>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</si>
  <si>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</si>
  <si>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</si>
  <si>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</si>
  <si>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</si>
  <si>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</si>
  <si>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</si>
  <si>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</si>
  <si>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</si>
  <si>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</si>
  <si>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</si>
  <si>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</si>
  <si>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</si>
  <si>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</si>
  <si>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</si>
  <si>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</si>
  <si>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</si>
  <si>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</si>
  <si>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</si>
  <si>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</si>
  <si>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</si>
  <si>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</si>
  <si>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</si>
  <si>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</si>
  <si>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</si>
  <si>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</si>
  <si>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</si>
  <si>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</si>
  <si>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</si>
  <si>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</si>
  <si>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</si>
  <si>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</si>
  <si>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</si>
  <si>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</si>
  <si>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</si>
  <si>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</si>
  <si>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</si>
  <si>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</si>
  <si>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</si>
  <si>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</si>
  <si>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</si>
  <si>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</si>
  <si>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</si>
  <si>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</si>
  <si>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</si>
  <si>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</si>
  <si>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</si>
  <si>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</si>
  <si>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</si>
  <si>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</si>
  <si>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</si>
  <si>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</si>
  <si>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</si>
  <si>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</si>
  <si>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</si>
  <si>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</si>
  <si>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</si>
  <si>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</si>
  <si>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</si>
  <si>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</si>
  <si>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</si>
  <si>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</si>
  <si>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</si>
  <si>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</si>
  <si>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</si>
  <si>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</si>
  <si>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</si>
  <si>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</si>
  <si>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</si>
  <si>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</si>
  <si>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</si>
  <si>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</si>
  <si>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</si>
  <si>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</si>
  <si>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</si>
  <si>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</si>
  <si>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</si>
  <si>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</si>
  <si>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</si>
  <si>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</si>
  <si>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</si>
  <si>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</si>
  <si>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</si>
  <si>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</si>
  <si>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</si>
  <si>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</si>
  <si>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</si>
  <si>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</si>
  <si>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</si>
  <si>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</si>
  <si>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</si>
  <si>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</si>
  <si>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</si>
  <si>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</si>
  <si>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</si>
  <si>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</si>
  <si>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</si>
  <si>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</si>
  <si>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</si>
  <si>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</si>
  <si>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</si>
  <si>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</si>
  <si>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</si>
  <si>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</si>
  <si>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</si>
  <si>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</si>
  <si>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</si>
  <si>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</si>
  <si>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</si>
  <si>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</si>
  <si>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</si>
  <si>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</si>
  <si>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</si>
  <si>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</si>
  <si>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</si>
  <si>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</si>
  <si>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</si>
  <si>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</si>
  <si>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</si>
  <si>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</si>
  <si>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</si>
  <si>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</si>
  <si>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</si>
  <si>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</si>
  <si>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</si>
  <si>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</si>
  <si>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</si>
  <si>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</si>
  <si>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</si>
  <si>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</si>
  <si>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</si>
  <si>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</si>
  <si>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</si>
  <si>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</si>
  <si>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</si>
  <si>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</si>
  <si>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</si>
  <si>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</si>
  <si>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</si>
  <si>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</si>
  <si>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</si>
  <si>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</si>
  <si>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</si>
  <si>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</si>
  <si>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</si>
  <si>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</si>
  <si>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</si>
  <si>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</si>
  <si>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</si>
  <si>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</si>
  <si>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</si>
  <si>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</si>
  <si>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</si>
  <si>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</si>
  <si>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</si>
  <si>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</si>
  <si>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</si>
  <si>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</si>
  <si>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</si>
  <si>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</si>
  <si>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</si>
  <si>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</si>
  <si>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</si>
  <si>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</si>
  <si>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</si>
  <si>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</si>
  <si>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</si>
  <si>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</si>
  <si>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</si>
  <si>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</si>
  <si>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</si>
  <si>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</si>
  <si>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</si>
  <si>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</si>
  <si>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</si>
  <si>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</si>
  <si>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</si>
  <si>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</si>
  <si>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</si>
  <si>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</si>
  <si>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</si>
  <si>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</si>
  <si>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</si>
  <si>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</si>
  <si>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</si>
  <si>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</si>
  <si>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</si>
  <si>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</si>
  <si>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</si>
  <si>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</si>
  <si>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</si>
  <si>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</si>
  <si>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</si>
  <si>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</si>
  <si>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</si>
  <si>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</si>
  <si>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</si>
  <si>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</si>
  <si>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</si>
  <si>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</si>
  <si>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</si>
  <si>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</si>
  <si>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</si>
  <si>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</si>
  <si>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</si>
  <si>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</si>
  <si>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</si>
  <si>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</si>
  <si>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</si>
  <si>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</si>
  <si>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</si>
  <si>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</si>
  <si>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</si>
  <si>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</si>
  <si>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</si>
  <si>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</si>
  <si>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</si>
  <si>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</si>
  <si>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</si>
  <si>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</si>
  <si>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</si>
  <si>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</si>
  <si>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</si>
  <si>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</si>
  <si>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</si>
  <si>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</si>
  <si>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</si>
  <si>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</si>
  <si>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</si>
  <si>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</si>
  <si>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</si>
  <si>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</si>
  <si>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</si>
  <si>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</si>
  <si>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</si>
  <si>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</si>
  <si>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</si>
  <si>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</si>
  <si>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</si>
  <si>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</si>
  <si>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</si>
  <si>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</si>
  <si>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</si>
  <si>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</si>
  <si>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</si>
  <si>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</si>
  <si>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</si>
  <si>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</si>
  <si>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</si>
  <si>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</si>
  <si>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</si>
  <si>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</si>
  <si>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</si>
  <si>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</si>
  <si>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</si>
  <si>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</si>
  <si>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</si>
  <si>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</si>
  <si>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</si>
  <si>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</si>
  <si>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</si>
  <si>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</si>
  <si>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</si>
  <si>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</si>
  <si>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</si>
  <si>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</si>
  <si>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</si>
  <si>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</si>
  <si>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</si>
  <si>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</si>
  <si>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</si>
  <si>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</si>
  <si>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</si>
  <si>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</si>
  <si>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</si>
  <si>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</si>
  <si>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</si>
  <si>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</si>
  <si>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</si>
  <si>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</si>
  <si>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</si>
  <si>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</si>
  <si>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</si>
  <si>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</si>
  <si>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</si>
  <si>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</si>
  <si>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</si>
  <si>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</si>
  <si>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</si>
  <si>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</si>
  <si>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</si>
  <si>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</si>
  <si>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</si>
  <si>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</si>
  <si>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</si>
  <si>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</si>
  <si>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</si>
  <si>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</si>
  <si>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</si>
  <si>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</si>
  <si>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</si>
  <si>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</si>
  <si>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</si>
  <si>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</si>
  <si>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</si>
  <si>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</si>
  <si>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</si>
  <si>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</si>
  <si>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</si>
  <si>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</si>
  <si>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</si>
  <si>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</si>
  <si>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</si>
  <si>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</si>
  <si>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</si>
  <si>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</si>
  <si>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</si>
  <si>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</si>
  <si>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</si>
  <si>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</si>
  <si>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</si>
  <si>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</si>
  <si>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</si>
  <si>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</si>
  <si>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</si>
  <si>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</si>
  <si>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</si>
  <si>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</si>
  <si>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</si>
  <si>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</si>
  <si>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</si>
  <si>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</si>
  <si>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</si>
  <si>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</si>
  <si>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</si>
  <si>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</si>
  <si>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</si>
  <si>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</si>
  <si>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</si>
  <si>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</si>
  <si>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</si>
  <si>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</si>
  <si>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</si>
  <si>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</si>
  <si>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</si>
  <si>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</si>
  <si>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</si>
  <si>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</si>
  <si>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</si>
  <si>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</si>
  <si>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</si>
  <si>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</si>
  <si>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</si>
  <si>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</si>
  <si>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</si>
  <si>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</si>
  <si>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</si>
  <si>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</si>
  <si>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</si>
  <si>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</si>
  <si>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</si>
  <si>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</si>
  <si>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</si>
  <si>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</si>
  <si>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</si>
  <si>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</si>
  <si>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</si>
  <si>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</si>
  <si>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</si>
  <si>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</si>
  <si>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</si>
  <si>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</si>
  <si>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</si>
  <si>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</si>
  <si>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</si>
  <si>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</si>
  <si>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</si>
  <si>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</si>
  <si>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</si>
  <si>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</si>
  <si>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</si>
  <si>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</si>
  <si>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</si>
  <si>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</si>
  <si>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</si>
  <si>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</si>
  <si>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</si>
  <si>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</si>
  <si>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</si>
  <si>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</si>
  <si>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</si>
  <si>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</si>
  <si>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</si>
  <si>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</si>
  <si>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</si>
  <si>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</si>
  <si>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</si>
  <si>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</si>
  <si>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</si>
  <si>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</si>
  <si>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</si>
  <si>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</si>
  <si>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</si>
  <si>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</si>
  <si>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</si>
  <si>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</si>
  <si>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</si>
  <si>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</si>
  <si>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</si>
  <si>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</si>
  <si>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</si>
  <si>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</si>
  <si>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</si>
  <si>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</si>
  <si>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</si>
  <si>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</si>
  <si>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</si>
  <si>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</si>
  <si>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</si>
  <si>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</si>
  <si>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</si>
  <si>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</si>
  <si>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</si>
  <si>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</si>
  <si>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</si>
  <si>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</si>
  <si>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</si>
  <si>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</si>
  <si>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</si>
  <si>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</si>
  <si>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</si>
  <si>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</si>
  <si>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</si>
  <si>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</si>
  <si>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</si>
  <si>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</si>
  <si>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</si>
  <si>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</si>
  <si>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</si>
  <si>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</si>
  <si>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</si>
  <si>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</si>
  <si>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</si>
  <si>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</si>
  <si>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</si>
  <si>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</si>
  <si>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</si>
  <si>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</si>
  <si>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</si>
  <si>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</si>
  <si>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</si>
  <si>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</si>
  <si>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</si>
  <si>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</si>
  <si>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</si>
  <si>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</si>
  <si>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</si>
  <si>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</si>
  <si>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</si>
  <si>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</si>
  <si>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</si>
  <si>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</si>
  <si>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</si>
  <si>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</si>
  <si>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</si>
  <si>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</si>
  <si>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</si>
  <si>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</si>
  <si>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</si>
  <si>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</si>
  <si>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</si>
  <si>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</si>
  <si>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</si>
  <si>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</si>
  <si>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</si>
  <si>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</si>
  <si>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</si>
  <si>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</si>
  <si>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</si>
  <si>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</si>
  <si>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</si>
  <si>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</si>
  <si>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</si>
  <si>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</si>
  <si>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</si>
  <si>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</si>
  <si>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</si>
  <si>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</si>
  <si>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</si>
  <si>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</si>
  <si>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</si>
  <si>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</si>
  <si>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</si>
  <si>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</si>
  <si>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</si>
  <si>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</si>
  <si>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</si>
  <si>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</si>
  <si>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</si>
  <si>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</si>
  <si>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</si>
  <si>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</si>
  <si>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</si>
  <si>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</si>
  <si>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</si>
  <si>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</si>
  <si>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</si>
  <si>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</si>
  <si>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</si>
  <si>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</si>
  <si>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</si>
  <si>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</si>
  <si>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</si>
  <si>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</si>
  <si>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</si>
  <si>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</si>
  <si>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</si>
  <si>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</si>
  <si>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</si>
  <si>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</si>
  <si>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</si>
  <si>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</si>
  <si>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</si>
  <si>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</si>
  <si>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</si>
  <si>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</si>
  <si>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</si>
  <si>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</si>
  <si>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</si>
  <si>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</si>
  <si>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</si>
  <si>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</si>
  <si>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</si>
  <si>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</si>
  <si>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</si>
  <si>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</si>
  <si>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</si>
  <si>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</si>
  <si>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</si>
  <si>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</si>
  <si>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</si>
  <si>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</si>
  <si>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</si>
  <si>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</si>
  <si>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</si>
  <si>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</si>
  <si>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</si>
  <si>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</si>
  <si>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</si>
  <si>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</si>
  <si>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</si>
  <si>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</si>
  <si>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</si>
  <si>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</si>
  <si>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</si>
  <si>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</si>
  <si>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</si>
  <si>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</si>
  <si>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</si>
  <si>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</si>
  <si>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</si>
  <si>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</si>
  <si>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</si>
  <si>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</si>
  <si>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</si>
  <si>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</si>
  <si>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</si>
  <si>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</si>
  <si>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</si>
  <si>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</si>
  <si>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</si>
  <si>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</si>
  <si>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</si>
  <si>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</si>
  <si>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</si>
  <si>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</si>
  <si>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</si>
  <si>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</si>
  <si>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</si>
  <si>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</si>
  <si>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</si>
  <si>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</si>
  <si>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</si>
  <si>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</si>
  <si>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</si>
  <si>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</si>
  <si>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</si>
  <si>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</si>
  <si>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</si>
  <si>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</si>
  <si>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</si>
  <si>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</si>
  <si>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</si>
  <si>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</si>
  <si>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</si>
  <si>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</si>
  <si>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</si>
  <si>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</si>
  <si>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</si>
  <si>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</si>
  <si>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</si>
  <si>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</si>
  <si>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</si>
  <si>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</si>
  <si>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</si>
  <si>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</si>
  <si>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</si>
  <si>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</si>
  <si>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</si>
  <si>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</si>
  <si>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</si>
  <si>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</si>
  <si>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</si>
  <si>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</si>
  <si>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</si>
  <si>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</si>
  <si>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</si>
  <si>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</si>
  <si>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</si>
  <si>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</si>
  <si>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</si>
  <si>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</si>
  <si>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</si>
  <si>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</si>
  <si>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</si>
  <si>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</si>
  <si>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</si>
  <si>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</si>
  <si>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</si>
  <si>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</si>
  <si>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</si>
  <si>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</si>
  <si>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</si>
  <si>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</si>
  <si>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</si>
  <si>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</si>
  <si>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</si>
  <si>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</si>
  <si>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</si>
  <si>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</si>
  <si>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</si>
  <si>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</si>
  <si>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</si>
  <si>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</si>
  <si>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</si>
  <si>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</si>
  <si>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</si>
  <si>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</si>
  <si>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</si>
  <si>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</si>
  <si>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</si>
  <si>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</si>
  <si>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</si>
  <si>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</si>
  <si>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</si>
  <si>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</si>
  <si>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</si>
  <si>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</si>
  <si>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</si>
  <si>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</si>
  <si>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</si>
  <si>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</si>
  <si>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</si>
  <si>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</si>
  <si>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</si>
  <si>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</si>
  <si>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</si>
  <si>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</si>
  <si>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</si>
  <si>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ICEL S.r.l.</t>
  </si>
  <si>
    <t>All capacitors and components produced by ICEL S.r.l.</t>
  </si>
  <si>
    <t>Walter Mariani; Andrea Favareto</t>
  </si>
  <si>
    <t>walter.mariani@icel.it; andrea.favareto@icel.it</t>
  </si>
  <si>
    <t>00390331500510</t>
  </si>
  <si>
    <t>Quality Engineering manager</t>
  </si>
  <si>
    <t>walter.mariani@icel.it</t>
  </si>
  <si>
    <t>Within admitted smelters list - approved / Respecting CMRT finalities: CID003387</t>
  </si>
  <si>
    <t>Within admitted smelters list - approved / Respecting CMRT finalities</t>
  </si>
  <si>
    <t>100%</t>
  </si>
  <si>
    <t>www.icel.it</t>
  </si>
  <si>
    <t>ALL ICEL S.r.l. products (www.icel.it)</t>
  </si>
  <si>
    <t xml:space="preserve">ALL codes-part numbers </t>
  </si>
  <si>
    <t xml:space="preserve">www.icel.it;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</si>
</sst>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 numFmtId="177" formatCode="_-* #,##0\ &quot;€&quot;_-;\-* #,##0\ &quot;€&quot;_-;_-* &quot;-&quot;\ &quot;€&quot;_-;_-@_-"/>
    <numFmt numFmtId="178" formatCode="_-* #,##0_-;\-* #,##0_-;_-* &quot;-&quot;_-;_-@_-"/>
    <numFmt numFmtId="179" formatCode="_-* #,##0.00\ &quot;€&quot;_-;\-* #,##0.00\ &quot;€&quot;_-;_-* &quot;-&quot;??\ &quot;€&quot;_-;_-@_-"/>
    <numFmt numFmtId="180" formatCode="_-* #,##0.00_-;\-* #,##0.00_-;_-*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81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179" fontId="11" fillId="0" borderId="0" applyFont="0" applyFill="0" applyBorder="0" applyAlignment="0" applyProtection="0"/>
    <xf numFmtId="0" fontId="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819">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2 2" xfId="593" xr:uid="{082613B0-9D32-4314-950E-224230D425AF}"/>
    <cellStyle name="Comma [0] 3" xfId="30" xr:uid="{00000000-0005-0000-0000-00001D000000}"/>
    <cellStyle name="Comma [0] 3 2" xfId="594" xr:uid="{0105A9FC-466E-4D78-9B99-07AAA4B6EC74}"/>
    <cellStyle name="Comma [0] 4" xfId="31" xr:uid="{00000000-0005-0000-0000-00001E000000}"/>
    <cellStyle name="Comma 10" xfId="32" xr:uid="{00000000-0005-0000-0000-00001F000000}"/>
    <cellStyle name="Comma 10 2" xfId="595" xr:uid="{53DF0910-A536-4AD8-AE52-B51A056BB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6" xr:uid="{7A268E12-6B3D-4A2F-A522-45B086D2BB35}"/>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7" xr:uid="{5C11E427-4442-4270-A9EC-F3DF4F61E08B}"/>
    <cellStyle name="Comma 117" xfId="51" xr:uid="{00000000-0005-0000-0000-000032000000}"/>
    <cellStyle name="Comma 117 2" xfId="598" xr:uid="{F12E7387-565F-4039-808A-69691B8F48FF}"/>
    <cellStyle name="Comma 118" xfId="52" xr:uid="{00000000-0005-0000-0000-000033000000}"/>
    <cellStyle name="Comma 118 2" xfId="599" xr:uid="{33D9C6D8-BDE2-4E7F-9DDD-7928099089DD}"/>
    <cellStyle name="Comma 119" xfId="53" xr:uid="{00000000-0005-0000-0000-000034000000}"/>
    <cellStyle name="Comma 119 2" xfId="600" xr:uid="{0E522381-6E88-4E3C-9773-B8A71F55F4D7}"/>
    <cellStyle name="Comma 12" xfId="54" xr:uid="{00000000-0005-0000-0000-000035000000}"/>
    <cellStyle name="Comma 12 2" xfId="601" xr:uid="{77CBDFD9-F6C8-4FD3-89C3-DD7472C2230C}"/>
    <cellStyle name="Comma 120" xfId="55" xr:uid="{00000000-0005-0000-0000-000036000000}"/>
    <cellStyle name="Comma 120 2" xfId="602" xr:uid="{5F1287BC-1258-4900-8163-361FAAE57662}"/>
    <cellStyle name="Comma 121" xfId="56" xr:uid="{00000000-0005-0000-0000-000037000000}"/>
    <cellStyle name="Comma 121 2" xfId="603" xr:uid="{4CF5CE5F-F7F7-470C-BB13-D036ACB6F577}"/>
    <cellStyle name="Comma 122" xfId="57" xr:uid="{00000000-0005-0000-0000-000038000000}"/>
    <cellStyle name="Comma 122 2" xfId="604" xr:uid="{EF031EE7-AD45-447B-922C-71C4BF2E986E}"/>
    <cellStyle name="Comma 123" xfId="58" xr:uid="{00000000-0005-0000-0000-000039000000}"/>
    <cellStyle name="Comma 123 2" xfId="605" xr:uid="{67F441A7-4020-4FD8-9AA0-EDF1320EFE54}"/>
    <cellStyle name="Comma 124" xfId="59" xr:uid="{00000000-0005-0000-0000-00003A000000}"/>
    <cellStyle name="Comma 124 2" xfId="606" xr:uid="{71D06D46-0BAD-4151-8EFF-B0080FE296A5}"/>
    <cellStyle name="Comma 125" xfId="60" xr:uid="{00000000-0005-0000-0000-00003B000000}"/>
    <cellStyle name="Comma 125 2" xfId="607" xr:uid="{8AC40BA0-9B34-4571-89B6-2D0BCB5FF124}"/>
    <cellStyle name="Comma 126" xfId="61" xr:uid="{00000000-0005-0000-0000-00003C000000}"/>
    <cellStyle name="Comma 126 2" xfId="608" xr:uid="{0AE5ED93-BD49-4E0A-B2A5-A7D16AC32464}"/>
    <cellStyle name="Comma 127" xfId="62" xr:uid="{00000000-0005-0000-0000-00003D000000}"/>
    <cellStyle name="Comma 127 2" xfId="609" xr:uid="{087101A6-457C-4D84-83A2-8BEC1D0D7E14}"/>
    <cellStyle name="Comma 128" xfId="63" xr:uid="{00000000-0005-0000-0000-00003E000000}"/>
    <cellStyle name="Comma 128 2" xfId="610" xr:uid="{AAF15422-7AD0-4013-8E4D-8767FE91FA93}"/>
    <cellStyle name="Comma 129" xfId="64" xr:uid="{00000000-0005-0000-0000-00003F000000}"/>
    <cellStyle name="Comma 129 2" xfId="611" xr:uid="{3B1F8F54-941D-4FDB-8798-E2EB86E24CB8}"/>
    <cellStyle name="Comma 13" xfId="65" xr:uid="{00000000-0005-0000-0000-000040000000}"/>
    <cellStyle name="Comma 13 2" xfId="612" xr:uid="{F2F4350C-177E-41BD-AE44-E69341E21027}"/>
    <cellStyle name="Comma 130" xfId="66" xr:uid="{00000000-0005-0000-0000-000041000000}"/>
    <cellStyle name="Comma 130 2" xfId="613" xr:uid="{80FE6795-3DF7-401A-975A-907C7D462087}"/>
    <cellStyle name="Comma 131" xfId="67" xr:uid="{00000000-0005-0000-0000-000042000000}"/>
    <cellStyle name="Comma 131 2" xfId="614" xr:uid="{6AF5162B-4CEB-453F-898B-B2E0F24B1E8F}"/>
    <cellStyle name="Comma 132" xfId="68" xr:uid="{00000000-0005-0000-0000-000043000000}"/>
    <cellStyle name="Comma 132 2" xfId="615" xr:uid="{0F85629A-39F7-46D1-B79A-51AA3B63236F}"/>
    <cellStyle name="Comma 133" xfId="69" xr:uid="{00000000-0005-0000-0000-000044000000}"/>
    <cellStyle name="Comma 133 2" xfId="616" xr:uid="{6E5A59CF-95D8-4CE3-8CE3-3794B7CE99B8}"/>
    <cellStyle name="Comma 134" xfId="70" xr:uid="{00000000-0005-0000-0000-000045000000}"/>
    <cellStyle name="Comma 134 2" xfId="617" xr:uid="{83A49A3A-3385-4F0F-903A-7E05F1AB36A6}"/>
    <cellStyle name="Comma 135" xfId="71" xr:uid="{00000000-0005-0000-0000-000046000000}"/>
    <cellStyle name="Comma 135 2" xfId="618" xr:uid="{5E399A33-AA94-4DA4-849F-47E7F26B5B1C}"/>
    <cellStyle name="Comma 136" xfId="72" xr:uid="{00000000-0005-0000-0000-000047000000}"/>
    <cellStyle name="Comma 136 2" xfId="619" xr:uid="{44E3BAA1-104D-4089-B3BE-D7F2AA471386}"/>
    <cellStyle name="Comma 137" xfId="73" xr:uid="{00000000-0005-0000-0000-000048000000}"/>
    <cellStyle name="Comma 137 2" xfId="620" xr:uid="{2F9A176E-9CE2-4F29-A736-AD7490142D76}"/>
    <cellStyle name="Comma 138" xfId="74" xr:uid="{00000000-0005-0000-0000-000049000000}"/>
    <cellStyle name="Comma 138 2" xfId="621" xr:uid="{6F60DB42-CE16-4031-B09E-253708FE1CCC}"/>
    <cellStyle name="Comma 139" xfId="75" xr:uid="{00000000-0005-0000-0000-00004A000000}"/>
    <cellStyle name="Comma 14" xfId="76" xr:uid="{00000000-0005-0000-0000-00004B000000}"/>
    <cellStyle name="Comma 14 2" xfId="622" xr:uid="{DD46CE94-583B-44CE-A4A1-DBA3A20449F8}"/>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3" xr:uid="{9DDADAD2-D5B0-4BFC-903F-07ECFF263ECD}"/>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4" xr:uid="{A2C1B049-D870-4F21-A837-A95221A1F697}"/>
    <cellStyle name="Comma 160" xfId="99" xr:uid="{00000000-0005-0000-0000-000062000000}"/>
    <cellStyle name="Comma 160 2" xfId="625" xr:uid="{DC72CAB1-2016-4CC8-AA6D-90DF80EBE30F}"/>
    <cellStyle name="Comma 161" xfId="100" xr:uid="{00000000-0005-0000-0000-000063000000}"/>
    <cellStyle name="Comma 161 2" xfId="626" xr:uid="{9082D823-F84B-4778-B981-53BCFF8F1956}"/>
    <cellStyle name="Comma 162" xfId="101" xr:uid="{00000000-0005-0000-0000-000064000000}"/>
    <cellStyle name="Comma 162 2" xfId="627" xr:uid="{773B4FA1-8078-422F-9325-05BFD696AB3B}"/>
    <cellStyle name="Comma 163" xfId="102" xr:uid="{00000000-0005-0000-0000-000065000000}"/>
    <cellStyle name="Comma 163 2" xfId="628" xr:uid="{66E692CD-9AE3-48FC-8928-6995A34F6F8A}"/>
    <cellStyle name="Comma 164" xfId="103" xr:uid="{00000000-0005-0000-0000-000066000000}"/>
    <cellStyle name="Comma 164 2" xfId="629" xr:uid="{489F5717-23B8-4528-9CAB-CCAEEC07E0D2}"/>
    <cellStyle name="Comma 165" xfId="104" xr:uid="{00000000-0005-0000-0000-000067000000}"/>
    <cellStyle name="Comma 165 2" xfId="630" xr:uid="{732B8950-D7DC-4234-8C7D-24664B353234}"/>
    <cellStyle name="Comma 166" xfId="105" xr:uid="{00000000-0005-0000-0000-000068000000}"/>
    <cellStyle name="Comma 166 2" xfId="631" xr:uid="{3B3500F8-93AA-4776-B2D9-C5B758523A3D}"/>
    <cellStyle name="Comma 167" xfId="106" xr:uid="{00000000-0005-0000-0000-000069000000}"/>
    <cellStyle name="Comma 167 2" xfId="632" xr:uid="{2037BC55-BAF8-4026-833A-F1B0FEF8D094}"/>
    <cellStyle name="Comma 168" xfId="107" xr:uid="{00000000-0005-0000-0000-00006A000000}"/>
    <cellStyle name="Comma 168 2" xfId="633" xr:uid="{5F3130BD-4899-42C2-ADA0-95EF693F156D}"/>
    <cellStyle name="Comma 169" xfId="108" xr:uid="{00000000-0005-0000-0000-00006B000000}"/>
    <cellStyle name="Comma 169 2" xfId="634" xr:uid="{990C29B1-FBB7-4754-A0D6-7672D9C118D5}"/>
    <cellStyle name="Comma 17" xfId="109" xr:uid="{00000000-0005-0000-0000-00006C000000}"/>
    <cellStyle name="Comma 17 2" xfId="635" xr:uid="{4DE98935-F191-482A-B195-48EF8E407A12}"/>
    <cellStyle name="Comma 170" xfId="110" xr:uid="{00000000-0005-0000-0000-00006D000000}"/>
    <cellStyle name="Comma 170 2" xfId="636" xr:uid="{E3D0479C-C797-4FE5-9207-4032B14BED63}"/>
    <cellStyle name="Comma 171" xfId="111" xr:uid="{00000000-0005-0000-0000-00006E000000}"/>
    <cellStyle name="Comma 171 2" xfId="637" xr:uid="{CC606E2C-82A8-4F57-8938-E9EEA0B8DF12}"/>
    <cellStyle name="Comma 172" xfId="112" xr:uid="{00000000-0005-0000-0000-00006F000000}"/>
    <cellStyle name="Comma 172 2" xfId="638" xr:uid="{7931669E-76BC-4F45-9F29-FA176C91A2FD}"/>
    <cellStyle name="Comma 173" xfId="113" xr:uid="{00000000-0005-0000-0000-000070000000}"/>
    <cellStyle name="Comma 173 2" xfId="639" xr:uid="{68927B73-57AC-48D0-80C2-667697B15829}"/>
    <cellStyle name="Comma 174" xfId="114" xr:uid="{00000000-0005-0000-0000-000071000000}"/>
    <cellStyle name="Comma 174 2" xfId="640" xr:uid="{52EBDE30-7971-4F49-8C59-1B3308BC6D1A}"/>
    <cellStyle name="Comma 175" xfId="115" xr:uid="{00000000-0005-0000-0000-000072000000}"/>
    <cellStyle name="Comma 175 2" xfId="641" xr:uid="{6A62FAFF-849F-4071-ADB5-AE65D2FE4091}"/>
    <cellStyle name="Comma 176" xfId="116" xr:uid="{00000000-0005-0000-0000-000073000000}"/>
    <cellStyle name="Comma 176 2" xfId="642" xr:uid="{10ED01E0-DABD-418E-B04E-3758BCD8F9DD}"/>
    <cellStyle name="Comma 177" xfId="117" xr:uid="{00000000-0005-0000-0000-000074000000}"/>
    <cellStyle name="Comma 177 2" xfId="643" xr:uid="{447A6832-7482-40BB-98D0-FA506472B097}"/>
    <cellStyle name="Comma 178" xfId="118" xr:uid="{00000000-0005-0000-0000-000075000000}"/>
    <cellStyle name="Comma 178 2" xfId="644" xr:uid="{6387EE7F-9B75-4166-80C3-61BC08D89825}"/>
    <cellStyle name="Comma 179" xfId="119" xr:uid="{00000000-0005-0000-0000-000076000000}"/>
    <cellStyle name="Comma 179 2" xfId="645" xr:uid="{6334FD88-CD8C-48FB-80FD-5C47D0D4ACDD}"/>
    <cellStyle name="Comma 18" xfId="120" xr:uid="{00000000-0005-0000-0000-000077000000}"/>
    <cellStyle name="Comma 18 2" xfId="646" xr:uid="{F4B78BD6-728D-4CEB-8546-B02972504E5F}"/>
    <cellStyle name="Comma 180" xfId="121" xr:uid="{00000000-0005-0000-0000-000078000000}"/>
    <cellStyle name="Comma 180 2" xfId="647" xr:uid="{C98D8B1D-3A25-49E8-8EDC-370179E2785F}"/>
    <cellStyle name="Comma 181" xfId="122" xr:uid="{00000000-0005-0000-0000-000079000000}"/>
    <cellStyle name="Comma 181 2" xfId="648" xr:uid="{4DE7D8CC-23D2-402E-BFB3-D0CB2029498D}"/>
    <cellStyle name="Comma 182" xfId="123" xr:uid="{00000000-0005-0000-0000-00007A000000}"/>
    <cellStyle name="Comma 182 2" xfId="649" xr:uid="{D00BB192-FF44-4EAC-9429-4E308ABB701A}"/>
    <cellStyle name="Comma 183" xfId="124" xr:uid="{00000000-0005-0000-0000-00007B000000}"/>
    <cellStyle name="Comma 183 2" xfId="650" xr:uid="{F0CAA9C9-69E4-4ED1-B7AE-BC5EDFC4ED76}"/>
    <cellStyle name="Comma 184" xfId="125" xr:uid="{00000000-0005-0000-0000-00007C000000}"/>
    <cellStyle name="Comma 184 2" xfId="651" xr:uid="{A4E3DAC6-66E1-48BD-B9D5-12A08E82E0D2}"/>
    <cellStyle name="Comma 185" xfId="126" xr:uid="{00000000-0005-0000-0000-00007D000000}"/>
    <cellStyle name="Comma 185 2" xfId="652" xr:uid="{05F801C1-8BDF-4A2A-B62F-7A6F60CBF067}"/>
    <cellStyle name="Comma 186" xfId="127" xr:uid="{00000000-0005-0000-0000-00007E000000}"/>
    <cellStyle name="Comma 186 2" xfId="653" xr:uid="{18FE7C5A-494A-41CE-90A9-3F59008A7552}"/>
    <cellStyle name="Comma 187" xfId="128" xr:uid="{00000000-0005-0000-0000-00007F000000}"/>
    <cellStyle name="Comma 187 2" xfId="654" xr:uid="{AA45DB13-D227-4E66-BDD4-EE627928FF94}"/>
    <cellStyle name="Comma 188" xfId="129" xr:uid="{00000000-0005-0000-0000-000080000000}"/>
    <cellStyle name="Comma 188 2" xfId="655" xr:uid="{09B68537-2202-4F99-9498-46920C76C11F}"/>
    <cellStyle name="Comma 189" xfId="130" xr:uid="{00000000-0005-0000-0000-000081000000}"/>
    <cellStyle name="Comma 189 2" xfId="656" xr:uid="{D8B1CA59-A9C6-4BA8-8A64-7C53603CC273}"/>
    <cellStyle name="Comma 19" xfId="131" xr:uid="{00000000-0005-0000-0000-000082000000}"/>
    <cellStyle name="Comma 19 2" xfId="657" xr:uid="{72E39ECB-5BAB-43CA-B58D-080C07A73906}"/>
    <cellStyle name="Comma 190" xfId="132" xr:uid="{00000000-0005-0000-0000-000083000000}"/>
    <cellStyle name="Comma 190 2" xfId="658" xr:uid="{AD4C1FB0-C892-4B94-AB98-E2C788AFCEAE}"/>
    <cellStyle name="Comma 191" xfId="133" xr:uid="{00000000-0005-0000-0000-000084000000}"/>
    <cellStyle name="Comma 191 2" xfId="659" xr:uid="{4013EC02-9BAD-46A0-80F7-9DDD8BF16197}"/>
    <cellStyle name="Comma 192" xfId="134" xr:uid="{00000000-0005-0000-0000-000085000000}"/>
    <cellStyle name="Comma 192 2" xfId="660" xr:uid="{730320EF-8C8E-4B9D-8F94-ECBF591A3A02}"/>
    <cellStyle name="Comma 193" xfId="135" xr:uid="{00000000-0005-0000-0000-000086000000}"/>
    <cellStyle name="Comma 193 2" xfId="661" xr:uid="{DFE008C9-6D32-48B3-AB73-82A21058B02A}"/>
    <cellStyle name="Comma 194" xfId="136" xr:uid="{00000000-0005-0000-0000-000087000000}"/>
    <cellStyle name="Comma 194 2" xfId="662" xr:uid="{BB52CED7-4948-494F-8545-51B3F90CE5FA}"/>
    <cellStyle name="Comma 195" xfId="137" xr:uid="{00000000-0005-0000-0000-000088000000}"/>
    <cellStyle name="Comma 195 2" xfId="663" xr:uid="{C6428FE5-CAF7-40D9-AF0A-CD7B87EE7BA6}"/>
    <cellStyle name="Comma 196" xfId="138" xr:uid="{00000000-0005-0000-0000-000089000000}"/>
    <cellStyle name="Comma 196 2" xfId="664" xr:uid="{B81BBDD7-DEF1-4CEE-9B90-5573E2334042}"/>
    <cellStyle name="Comma 197" xfId="139" xr:uid="{00000000-0005-0000-0000-00008A000000}"/>
    <cellStyle name="Comma 197 2" xfId="665" xr:uid="{C56484FE-5270-4672-9BF8-80D287631F79}"/>
    <cellStyle name="Comma 198" xfId="140" xr:uid="{00000000-0005-0000-0000-00008B000000}"/>
    <cellStyle name="Comma 198 2" xfId="666" xr:uid="{DADF1979-6DCE-421D-81A3-60CE7D1A22C7}"/>
    <cellStyle name="Comma 199" xfId="141" xr:uid="{00000000-0005-0000-0000-00008C000000}"/>
    <cellStyle name="Comma 199 2" xfId="667" xr:uid="{56194D47-5573-4F6A-80AB-B6510B8618C8}"/>
    <cellStyle name="Comma 2" xfId="142" xr:uid="{00000000-0005-0000-0000-00008D000000}"/>
    <cellStyle name="Comma 2 2" xfId="668" xr:uid="{30BA608E-7F15-4E1F-B8AD-C7C389DECA90}"/>
    <cellStyle name="Comma 20" xfId="143" xr:uid="{00000000-0005-0000-0000-00008E000000}"/>
    <cellStyle name="Comma 20 2" xfId="669" xr:uid="{3027FFFA-4AE3-4403-8A6C-39F06D2949B3}"/>
    <cellStyle name="Comma 200" xfId="144" xr:uid="{00000000-0005-0000-0000-00008F000000}"/>
    <cellStyle name="Comma 200 2" xfId="670" xr:uid="{D191A6F7-4EFF-4944-B72F-842B5343183F}"/>
    <cellStyle name="Comma 201" xfId="145" xr:uid="{00000000-0005-0000-0000-000090000000}"/>
    <cellStyle name="Comma 201 2" xfId="671" xr:uid="{4B0C45A6-8408-45A4-97DE-50D78AFD1E50}"/>
    <cellStyle name="Comma 202" xfId="146" xr:uid="{00000000-0005-0000-0000-000091000000}"/>
    <cellStyle name="Comma 202 2" xfId="672" xr:uid="{A11EB7B1-9125-43C4-80B3-3A9D714CEC0E}"/>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3" xr:uid="{ADBFB00F-1B00-433C-8F37-3BA1DF1FDCB3}"/>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4" xr:uid="{E1042F99-4DBC-4D58-8F28-49DDCE458377}"/>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5" xr:uid="{928DBD3D-423E-4759-96C2-346F0D13F4F8}"/>
    <cellStyle name="Comma 24" xfId="171" xr:uid="{00000000-0005-0000-0000-0000AA000000}"/>
    <cellStyle name="Comma 24 2" xfId="676" xr:uid="{2BDFA972-4F4B-428B-B100-FE6C7BB04685}"/>
    <cellStyle name="Comma 25" xfId="172" xr:uid="{00000000-0005-0000-0000-0000AB000000}"/>
    <cellStyle name="Comma 25 2" xfId="677" xr:uid="{BE8299B7-DB2F-4421-8630-82C49ADAD681}"/>
    <cellStyle name="Comma 26" xfId="173" xr:uid="{00000000-0005-0000-0000-0000AC000000}"/>
    <cellStyle name="Comma 26 2" xfId="678" xr:uid="{2780749D-60C6-40F2-9D12-49346EF8B63C}"/>
    <cellStyle name="Comma 27" xfId="174" xr:uid="{00000000-0005-0000-0000-0000AD000000}"/>
    <cellStyle name="Comma 27 2" xfId="679" xr:uid="{850A6FFE-1B88-499A-8666-5368C6E161FE}"/>
    <cellStyle name="Comma 28" xfId="175" xr:uid="{00000000-0005-0000-0000-0000AE000000}"/>
    <cellStyle name="Comma 28 2" xfId="680" xr:uid="{6C4F40BC-F811-44ED-94CC-99F34F2770CF}"/>
    <cellStyle name="Comma 29" xfId="176" xr:uid="{00000000-0005-0000-0000-0000AF000000}"/>
    <cellStyle name="Comma 29 2" xfId="681" xr:uid="{935E7B78-2A8E-415D-9EAF-3E910424B1B4}"/>
    <cellStyle name="Comma 3" xfId="177" xr:uid="{00000000-0005-0000-0000-0000B0000000}"/>
    <cellStyle name="Comma 3 2" xfId="682" xr:uid="{6B65432E-A0A8-4327-B145-C34AC6B161CA}"/>
    <cellStyle name="Comma 30" xfId="178" xr:uid="{00000000-0005-0000-0000-0000B1000000}"/>
    <cellStyle name="Comma 30 2" xfId="683" xr:uid="{6F4033D3-C48F-4538-B71D-E5584662048E}"/>
    <cellStyle name="Comma 31" xfId="179" xr:uid="{00000000-0005-0000-0000-0000B2000000}"/>
    <cellStyle name="Comma 31 2" xfId="684" xr:uid="{182A6C6F-5C39-437C-9595-039DCC5DB918}"/>
    <cellStyle name="Comma 32" xfId="180" xr:uid="{00000000-0005-0000-0000-0000B3000000}"/>
    <cellStyle name="Comma 32 2" xfId="685" xr:uid="{31B015BD-0629-496F-A457-36DE98F3C807}"/>
    <cellStyle name="Comma 33" xfId="181" xr:uid="{00000000-0005-0000-0000-0000B4000000}"/>
    <cellStyle name="Comma 33 2" xfId="686" xr:uid="{CDFFFC9E-1AC8-4981-9715-5217D89EF2FF}"/>
    <cellStyle name="Comma 34" xfId="182" xr:uid="{00000000-0005-0000-0000-0000B5000000}"/>
    <cellStyle name="Comma 34 2" xfId="687" xr:uid="{8FBF2FA1-DD7D-465B-A77D-92D18739F61C}"/>
    <cellStyle name="Comma 35" xfId="183" xr:uid="{00000000-0005-0000-0000-0000B6000000}"/>
    <cellStyle name="Comma 35 2" xfId="688" xr:uid="{0A992679-CD6A-4C1C-AA7C-63D3C7970434}"/>
    <cellStyle name="Comma 36" xfId="184" xr:uid="{00000000-0005-0000-0000-0000B7000000}"/>
    <cellStyle name="Comma 36 2" xfId="689" xr:uid="{B7F1204B-8EA5-446C-8862-9B5EFFEF0F82}"/>
    <cellStyle name="Comma 37" xfId="185" xr:uid="{00000000-0005-0000-0000-0000B8000000}"/>
    <cellStyle name="Comma 37 2" xfId="690" xr:uid="{D0496757-BE1D-42CF-86DA-D6436D943EB6}"/>
    <cellStyle name="Comma 38" xfId="186" xr:uid="{00000000-0005-0000-0000-0000B9000000}"/>
    <cellStyle name="Comma 38 2" xfId="691" xr:uid="{2D128585-3DB6-48B5-A29C-062BC76CD930}"/>
    <cellStyle name="Comma 39" xfId="187" xr:uid="{00000000-0005-0000-0000-0000BA000000}"/>
    <cellStyle name="Comma 39 2" xfId="692" xr:uid="{187471F5-EAA9-4B78-BA08-AA5219433C17}"/>
    <cellStyle name="Comma 4" xfId="188" xr:uid="{00000000-0005-0000-0000-0000BB000000}"/>
    <cellStyle name="Comma 4 2" xfId="693" xr:uid="{D1F0876A-C2F9-45BA-A0EE-BCCD0E5DFFB4}"/>
    <cellStyle name="Comma 40" xfId="189" xr:uid="{00000000-0005-0000-0000-0000BC000000}"/>
    <cellStyle name="Comma 40 2" xfId="694" xr:uid="{1512E17D-70C0-44CC-B743-69E22C14F558}"/>
    <cellStyle name="Comma 41" xfId="190" xr:uid="{00000000-0005-0000-0000-0000BD000000}"/>
    <cellStyle name="Comma 41 2" xfId="695" xr:uid="{B9B79780-4F84-4D13-8A2E-E06ADB58E980}"/>
    <cellStyle name="Comma 42" xfId="191" xr:uid="{00000000-0005-0000-0000-0000BE000000}"/>
    <cellStyle name="Comma 42 2" xfId="696" xr:uid="{CB9EE244-28AC-4D6B-AA1D-B989A471CDA4}"/>
    <cellStyle name="Comma 43" xfId="192" xr:uid="{00000000-0005-0000-0000-0000BF000000}"/>
    <cellStyle name="Comma 43 2" xfId="697" xr:uid="{B1A85BDB-DF04-4DE7-8B89-CDE629C3A13F}"/>
    <cellStyle name="Comma 44" xfId="193" xr:uid="{00000000-0005-0000-0000-0000C0000000}"/>
    <cellStyle name="Comma 44 2" xfId="698" xr:uid="{3477E065-4D76-421C-AFE5-7D4807574F7D}"/>
    <cellStyle name="Comma 45" xfId="194" xr:uid="{00000000-0005-0000-0000-0000C1000000}"/>
    <cellStyle name="Comma 45 2" xfId="699" xr:uid="{4BE92D17-45E3-4F27-A9F1-706AE6261F2E}"/>
    <cellStyle name="Comma 46" xfId="195" xr:uid="{00000000-0005-0000-0000-0000C2000000}"/>
    <cellStyle name="Comma 46 2" xfId="700" xr:uid="{722359EF-34A9-4DA5-B321-DFDAB09E8BF7}"/>
    <cellStyle name="Comma 47" xfId="196" xr:uid="{00000000-0005-0000-0000-0000C3000000}"/>
    <cellStyle name="Comma 47 2" xfId="701" xr:uid="{24B7A826-F111-4355-A57F-214C691F5785}"/>
    <cellStyle name="Comma 48" xfId="197" xr:uid="{00000000-0005-0000-0000-0000C4000000}"/>
    <cellStyle name="Comma 48 2" xfId="702" xr:uid="{8265BBB2-1C8F-4721-A81E-27AF0819753E}"/>
    <cellStyle name="Comma 49" xfId="198" xr:uid="{00000000-0005-0000-0000-0000C5000000}"/>
    <cellStyle name="Comma 49 2" xfId="703" xr:uid="{79F168B0-02AD-4390-903A-D140E699B1D6}"/>
    <cellStyle name="Comma 5" xfId="199" xr:uid="{00000000-0005-0000-0000-0000C6000000}"/>
    <cellStyle name="Comma 5 2" xfId="704" xr:uid="{114D09DA-1861-45FD-A610-EB6878C1D29B}"/>
    <cellStyle name="Comma 50" xfId="200" xr:uid="{00000000-0005-0000-0000-0000C7000000}"/>
    <cellStyle name="Comma 50 2" xfId="705" xr:uid="{839A81C9-CB6C-40DC-B090-441089925DB9}"/>
    <cellStyle name="Comma 51" xfId="201" xr:uid="{00000000-0005-0000-0000-0000C8000000}"/>
    <cellStyle name="Comma 51 2" xfId="706" xr:uid="{940801CF-6701-410D-AD25-6FC73F335118}"/>
    <cellStyle name="Comma 52" xfId="202" xr:uid="{00000000-0005-0000-0000-0000C9000000}"/>
    <cellStyle name="Comma 52 2" xfId="707" xr:uid="{9911639B-F328-4FFA-89E3-4A3C3E3F2B1F}"/>
    <cellStyle name="Comma 53" xfId="203" xr:uid="{00000000-0005-0000-0000-0000CA000000}"/>
    <cellStyle name="Comma 53 2" xfId="708" xr:uid="{C9B9EBA0-0B59-4596-BF9F-E71736EFE3ED}"/>
    <cellStyle name="Comma 54" xfId="204" xr:uid="{00000000-0005-0000-0000-0000CB000000}"/>
    <cellStyle name="Comma 54 2" xfId="709" xr:uid="{868D1D0E-1BF8-43C9-883E-F7128B776739}"/>
    <cellStyle name="Comma 55" xfId="205" xr:uid="{00000000-0005-0000-0000-0000CC000000}"/>
    <cellStyle name="Comma 55 2" xfId="710" xr:uid="{F80840DA-4D99-42EF-9F5F-76985ABB5ECC}"/>
    <cellStyle name="Comma 56" xfId="206" xr:uid="{00000000-0005-0000-0000-0000CD000000}"/>
    <cellStyle name="Comma 56 2" xfId="711" xr:uid="{8EF55E14-CBF5-411D-A2B7-CDF577145CBA}"/>
    <cellStyle name="Comma 57" xfId="207" xr:uid="{00000000-0005-0000-0000-0000CE000000}"/>
    <cellStyle name="Comma 57 2" xfId="712" xr:uid="{551CB1EC-F110-4E46-B747-3383CD369D31}"/>
    <cellStyle name="Comma 58" xfId="208" xr:uid="{00000000-0005-0000-0000-0000CF000000}"/>
    <cellStyle name="Comma 58 2" xfId="713" xr:uid="{EF4393F2-076E-4DA6-8FC2-675D082A4220}"/>
    <cellStyle name="Comma 59" xfId="209" xr:uid="{00000000-0005-0000-0000-0000D0000000}"/>
    <cellStyle name="Comma 59 2" xfId="714" xr:uid="{960420B8-596A-4382-9D3C-776FBA09C029}"/>
    <cellStyle name="Comma 6" xfId="210" xr:uid="{00000000-0005-0000-0000-0000D1000000}"/>
    <cellStyle name="Comma 6 2" xfId="715" xr:uid="{2836925B-126B-44F1-921E-93480140105A}"/>
    <cellStyle name="Comma 60" xfId="211" xr:uid="{00000000-0005-0000-0000-0000D2000000}"/>
    <cellStyle name="Comma 60 2" xfId="716" xr:uid="{DD2FC0F8-F327-416B-86F0-4CD28AB4FC32}"/>
    <cellStyle name="Comma 61" xfId="212" xr:uid="{00000000-0005-0000-0000-0000D3000000}"/>
    <cellStyle name="Comma 61 2" xfId="717" xr:uid="{C64547FE-6E7F-4D2C-BDF9-DCCECEE70E6A}"/>
    <cellStyle name="Comma 62" xfId="213" xr:uid="{00000000-0005-0000-0000-0000D4000000}"/>
    <cellStyle name="Comma 62 2" xfId="718" xr:uid="{3FFEBCB5-6A53-44DD-8122-4AE22D14B278}"/>
    <cellStyle name="Comma 63" xfId="214" xr:uid="{00000000-0005-0000-0000-0000D5000000}"/>
    <cellStyle name="Comma 63 2" xfId="719" xr:uid="{D8BEA0D5-B20F-4834-BF0F-87F145A43770}"/>
    <cellStyle name="Comma 64" xfId="215" xr:uid="{00000000-0005-0000-0000-0000D6000000}"/>
    <cellStyle name="Comma 64 2" xfId="720" xr:uid="{E7DC0111-F2EB-4DAF-B116-B2BBEB5B3CF8}"/>
    <cellStyle name="Comma 65" xfId="216" xr:uid="{00000000-0005-0000-0000-0000D7000000}"/>
    <cellStyle name="Comma 65 2" xfId="721" xr:uid="{2EA94A4D-CCCB-4142-9A87-5A2AB71A8241}"/>
    <cellStyle name="Comma 66" xfId="217" xr:uid="{00000000-0005-0000-0000-0000D8000000}"/>
    <cellStyle name="Comma 66 2" xfId="722" xr:uid="{05302583-C27C-4948-A19B-598240C84967}"/>
    <cellStyle name="Comma 67" xfId="218" xr:uid="{00000000-0005-0000-0000-0000D9000000}"/>
    <cellStyle name="Comma 67 2" xfId="723" xr:uid="{8364D2FA-FA85-4F98-96A7-47603972C473}"/>
    <cellStyle name="Comma 68" xfId="219" xr:uid="{00000000-0005-0000-0000-0000DA000000}"/>
    <cellStyle name="Comma 68 2" xfId="724" xr:uid="{5FE5F82C-ABD3-4359-BF4A-AAD53F02B0DF}"/>
    <cellStyle name="Comma 69" xfId="220" xr:uid="{00000000-0005-0000-0000-0000DB000000}"/>
    <cellStyle name="Comma 69 2" xfId="725" xr:uid="{28B5AD23-8B1C-4B93-9AC7-1D710CFAB6E6}"/>
    <cellStyle name="Comma 7" xfId="221" xr:uid="{00000000-0005-0000-0000-0000DC000000}"/>
    <cellStyle name="Comma 7 2" xfId="726" xr:uid="{938E325E-84B9-4AF7-BD17-6F335142758E}"/>
    <cellStyle name="Comma 70" xfId="222" xr:uid="{00000000-0005-0000-0000-0000DD000000}"/>
    <cellStyle name="Comma 70 2" xfId="727" xr:uid="{78C2C32B-3C4F-449C-833F-B82524199BF3}"/>
    <cellStyle name="Comma 71" xfId="223" xr:uid="{00000000-0005-0000-0000-0000DE000000}"/>
    <cellStyle name="Comma 71 2" xfId="728" xr:uid="{E12F8DBD-8948-49B2-9442-52BEFC325F06}"/>
    <cellStyle name="Comma 72" xfId="224" xr:uid="{00000000-0005-0000-0000-0000DF000000}"/>
    <cellStyle name="Comma 72 2" xfId="729" xr:uid="{0D82D173-B566-4CF6-81E5-D0CBA5BCA6D0}"/>
    <cellStyle name="Comma 73" xfId="225" xr:uid="{00000000-0005-0000-0000-0000E0000000}"/>
    <cellStyle name="Comma 73 2" xfId="730" xr:uid="{9A42127A-FCCC-403E-8D70-47BD3F5E0DD4}"/>
    <cellStyle name="Comma 74" xfId="226" xr:uid="{00000000-0005-0000-0000-0000E1000000}"/>
    <cellStyle name="Comma 74 2" xfId="731" xr:uid="{D1779023-3A8D-4923-ADFB-10339003056A}"/>
    <cellStyle name="Comma 75" xfId="227" xr:uid="{00000000-0005-0000-0000-0000E2000000}"/>
    <cellStyle name="Comma 75 2" xfId="732" xr:uid="{FBFCA6F0-DE9E-4590-A6E0-03CE6145436B}"/>
    <cellStyle name="Comma 76" xfId="228" xr:uid="{00000000-0005-0000-0000-0000E3000000}"/>
    <cellStyle name="Comma 76 2" xfId="733" xr:uid="{F0799960-085A-4281-99E3-04AF503AD992}"/>
    <cellStyle name="Comma 77" xfId="229" xr:uid="{00000000-0005-0000-0000-0000E4000000}"/>
    <cellStyle name="Comma 77 2" xfId="734" xr:uid="{F32E8A09-5299-4D87-ABEE-E3043E5E39F3}"/>
    <cellStyle name="Comma 78" xfId="230" xr:uid="{00000000-0005-0000-0000-0000E5000000}"/>
    <cellStyle name="Comma 78 2" xfId="735" xr:uid="{56967124-56AE-477C-A047-9A55725BD4E0}"/>
    <cellStyle name="Comma 79" xfId="231" xr:uid="{00000000-0005-0000-0000-0000E6000000}"/>
    <cellStyle name="Comma 79 2" xfId="736" xr:uid="{90AD8A48-2E2E-430D-992C-7843C2ED6650}"/>
    <cellStyle name="Comma 8" xfId="232" xr:uid="{00000000-0005-0000-0000-0000E7000000}"/>
    <cellStyle name="Comma 8 2" xfId="737" xr:uid="{C6E8D28B-1246-46AB-AFD5-E28FCF9EC39A}"/>
    <cellStyle name="Comma 80" xfId="233" xr:uid="{00000000-0005-0000-0000-0000E8000000}"/>
    <cellStyle name="Comma 80 2" xfId="738" xr:uid="{8A517AD8-EBEC-48A8-A41B-7C1369A66D85}"/>
    <cellStyle name="Comma 81" xfId="234" xr:uid="{00000000-0005-0000-0000-0000E9000000}"/>
    <cellStyle name="Comma 81 2" xfId="739" xr:uid="{9B4FF727-A046-450A-A25E-62B0750CADC1}"/>
    <cellStyle name="Comma 82" xfId="235" xr:uid="{00000000-0005-0000-0000-0000EA000000}"/>
    <cellStyle name="Comma 82 2" xfId="740" xr:uid="{E6342822-480A-4F33-847F-3268FFE281B9}"/>
    <cellStyle name="Comma 83" xfId="236" xr:uid="{00000000-0005-0000-0000-0000EB000000}"/>
    <cellStyle name="Comma 83 2" xfId="741" xr:uid="{9A85493B-C284-47F5-A10B-C3027B7517DA}"/>
    <cellStyle name="Comma 84" xfId="237" xr:uid="{00000000-0005-0000-0000-0000EC000000}"/>
    <cellStyle name="Comma 84 2" xfId="742" xr:uid="{2A146203-A678-4B9C-819A-9CC206EFB0F9}"/>
    <cellStyle name="Comma 85" xfId="238" xr:uid="{00000000-0005-0000-0000-0000ED000000}"/>
    <cellStyle name="Comma 85 2" xfId="743" xr:uid="{BE916591-99C9-42BD-8B80-53A80E6B44FF}"/>
    <cellStyle name="Comma 86" xfId="239" xr:uid="{00000000-0005-0000-0000-0000EE000000}"/>
    <cellStyle name="Comma 86 2" xfId="744" xr:uid="{BB3AE6D2-CEA6-4095-BD1B-E8D7DBB0108B}"/>
    <cellStyle name="Comma 87" xfId="240" xr:uid="{00000000-0005-0000-0000-0000EF000000}"/>
    <cellStyle name="Comma 87 2" xfId="745" xr:uid="{D17D1EBD-BB55-4528-AAAB-C50CB03D3B66}"/>
    <cellStyle name="Comma 88" xfId="241" xr:uid="{00000000-0005-0000-0000-0000F0000000}"/>
    <cellStyle name="Comma 88 2" xfId="746" xr:uid="{E92269C3-7E7D-4620-BD85-3889F773D4C3}"/>
    <cellStyle name="Comma 89" xfId="242" xr:uid="{00000000-0005-0000-0000-0000F1000000}"/>
    <cellStyle name="Comma 89 2" xfId="747" xr:uid="{A9D6D7EB-9833-4D5A-B471-921FE1B64B97}"/>
    <cellStyle name="Comma 9" xfId="243" xr:uid="{00000000-0005-0000-0000-0000F2000000}"/>
    <cellStyle name="Comma 9 2" xfId="748" xr:uid="{364920EB-A912-40A8-8298-14530B90311E}"/>
    <cellStyle name="Comma 90" xfId="244" xr:uid="{00000000-0005-0000-0000-0000F3000000}"/>
    <cellStyle name="Comma 90 2" xfId="749" xr:uid="{1D7E4093-0644-4968-B08A-CF2751CC1DFC}"/>
    <cellStyle name="Comma 91" xfId="245" xr:uid="{00000000-0005-0000-0000-0000F4000000}"/>
    <cellStyle name="Comma 91 2" xfId="750" xr:uid="{32D79447-C7CA-4BD4-BC82-F4E9D3F1BCEB}"/>
    <cellStyle name="Comma 92" xfId="246" xr:uid="{00000000-0005-0000-0000-0000F5000000}"/>
    <cellStyle name="Comma 92 2" xfId="751" xr:uid="{A51175C6-082B-41EA-8CA4-6727036CB7FB}"/>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52" xr:uid="{08908993-B7F1-4E79-AA9F-E3E3D7C46CF9}"/>
    <cellStyle name="Currency [0] 5" xfId="257" xr:uid="{00000000-0005-0000-0000-000000010000}"/>
    <cellStyle name="Currency 10" xfId="258" xr:uid="{00000000-0005-0000-0000-000001010000}"/>
    <cellStyle name="Currency 100" xfId="259" xr:uid="{00000000-0005-0000-0000-000002010000}"/>
    <cellStyle name="Currency 100 2" xfId="753" xr:uid="{3BD254C0-F186-4A95-AC2E-DEABD70E00F3}"/>
    <cellStyle name="Currency 101" xfId="260" xr:uid="{00000000-0005-0000-0000-000003010000}"/>
    <cellStyle name="Currency 101 2" xfId="754" xr:uid="{F71D2FA7-55B8-4CBB-811F-86EFDF39A49C}"/>
    <cellStyle name="Currency 102" xfId="261" xr:uid="{00000000-0005-0000-0000-000004010000}"/>
    <cellStyle name="Currency 102 2" xfId="755" xr:uid="{61F85436-993E-4DF1-B472-DE256F31E93D}"/>
    <cellStyle name="Currency 103" xfId="262" xr:uid="{00000000-0005-0000-0000-000005010000}"/>
    <cellStyle name="Currency 103 2" xfId="756" xr:uid="{4583B7D3-F53C-4308-862D-27990DB0A97A}"/>
    <cellStyle name="Currency 104" xfId="263" xr:uid="{00000000-0005-0000-0000-000006010000}"/>
    <cellStyle name="Currency 104 2" xfId="757" xr:uid="{C31E573C-EBEA-414E-9B8E-6168D755A690}"/>
    <cellStyle name="Currency 105" xfId="264" xr:uid="{00000000-0005-0000-0000-000007010000}"/>
    <cellStyle name="Currency 105 2" xfId="758" xr:uid="{B83B9DFE-8BA5-4A3E-831C-DBDA6140FE27}"/>
    <cellStyle name="Currency 106" xfId="265" xr:uid="{00000000-0005-0000-0000-000008010000}"/>
    <cellStyle name="Currency 106 2" xfId="759" xr:uid="{462315FF-0BAD-49F4-B976-F0030231D9AC}"/>
    <cellStyle name="Currency 107" xfId="266" xr:uid="{00000000-0005-0000-0000-000009010000}"/>
    <cellStyle name="Currency 107 2" xfId="760" xr:uid="{02BB026C-8197-4F0D-BCBB-E52865A76301}"/>
    <cellStyle name="Currency 108" xfId="267" xr:uid="{00000000-0005-0000-0000-00000A010000}"/>
    <cellStyle name="Currency 108 2" xfId="761" xr:uid="{29678D33-066B-40EE-8C77-51C638BFEF9D}"/>
    <cellStyle name="Currency 109" xfId="268" xr:uid="{00000000-0005-0000-0000-00000B010000}"/>
    <cellStyle name="Currency 109 2" xfId="762" xr:uid="{B08F50F4-11FB-4FFB-BA9A-464A78324C7B}"/>
    <cellStyle name="Currency 11" xfId="269" xr:uid="{00000000-0005-0000-0000-00000C010000}"/>
    <cellStyle name="Currency 110" xfId="270" xr:uid="{00000000-0005-0000-0000-00000D010000}"/>
    <cellStyle name="Currency 110 2" xfId="763" xr:uid="{E14D6F9A-E284-4DDC-A61C-A283EC6D6A61}"/>
    <cellStyle name="Currency 111" xfId="271" xr:uid="{00000000-0005-0000-0000-00000E010000}"/>
    <cellStyle name="Currency 111 2" xfId="764" xr:uid="{E838B9E6-029E-4451-ACAD-3143E86F4B35}"/>
    <cellStyle name="Currency 112" xfId="272" xr:uid="{00000000-0005-0000-0000-00000F010000}"/>
    <cellStyle name="Currency 112 2" xfId="765" xr:uid="{68E2EFDA-A65E-4C16-A604-90216A46D5AE}"/>
    <cellStyle name="Currency 113" xfId="273" xr:uid="{00000000-0005-0000-0000-000010010000}"/>
    <cellStyle name="Currency 113 2" xfId="766" xr:uid="{1CE9EC34-1161-4B4B-931D-388E7205CB91}"/>
    <cellStyle name="Currency 114" xfId="274" xr:uid="{00000000-0005-0000-0000-000011010000}"/>
    <cellStyle name="Currency 114 2" xfId="767" xr:uid="{F0E1C59F-6F9F-42B9-BF2A-E34EC5681C78}"/>
    <cellStyle name="Currency 115" xfId="275" xr:uid="{00000000-0005-0000-0000-000012010000}"/>
    <cellStyle name="Currency 115 2" xfId="768" xr:uid="{188D5488-8B5F-4639-9DE8-1F7C5AD77D0D}"/>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69" xr:uid="{29A57B1D-05BA-443A-A007-47960D7E4DA4}"/>
    <cellStyle name="Currency 14" xfId="302" xr:uid="{00000000-0005-0000-0000-00002D010000}"/>
    <cellStyle name="Currency 140" xfId="303" xr:uid="{00000000-0005-0000-0000-00002E010000}"/>
    <cellStyle name="Currency 140 2" xfId="770" xr:uid="{02AEBC28-D4DC-4FC3-A169-7BE0090D2A3F}"/>
    <cellStyle name="Currency 141" xfId="304" xr:uid="{00000000-0005-0000-0000-00002F010000}"/>
    <cellStyle name="Currency 141 2" xfId="771" xr:uid="{4125CFE3-3FBC-4579-8DD8-31538547F61C}"/>
    <cellStyle name="Currency 142" xfId="305" xr:uid="{00000000-0005-0000-0000-000030010000}"/>
    <cellStyle name="Currency 142 2" xfId="772" xr:uid="{1D8D8144-843C-475F-AE13-3C539BC7D017}"/>
    <cellStyle name="Currency 143" xfId="306" xr:uid="{00000000-0005-0000-0000-000031010000}"/>
    <cellStyle name="Currency 143 2" xfId="773" xr:uid="{6F0126FE-E947-46B7-9B16-F8FB3E55CE67}"/>
    <cellStyle name="Currency 144" xfId="307" xr:uid="{00000000-0005-0000-0000-000032010000}"/>
    <cellStyle name="Currency 144 2" xfId="774" xr:uid="{7AF80696-ABF2-45B3-9154-B2C91784BD12}"/>
    <cellStyle name="Currency 145" xfId="308" xr:uid="{00000000-0005-0000-0000-000033010000}"/>
    <cellStyle name="Currency 145 2" xfId="775" xr:uid="{2E6DEA95-FF59-451D-A45B-BE44EB4CC6CC}"/>
    <cellStyle name="Currency 146" xfId="309" xr:uid="{00000000-0005-0000-0000-000034010000}"/>
    <cellStyle name="Currency 146 2" xfId="776" xr:uid="{14E6F40B-57F5-4E96-AA78-D0F955FA2DF0}"/>
    <cellStyle name="Currency 147" xfId="310" xr:uid="{00000000-0005-0000-0000-000035010000}"/>
    <cellStyle name="Currency 147 2" xfId="777" xr:uid="{E6285A3A-4F83-4659-87E3-055366F7ACF4}"/>
    <cellStyle name="Currency 148" xfId="311" xr:uid="{00000000-0005-0000-0000-000036010000}"/>
    <cellStyle name="Currency 148 2" xfId="778" xr:uid="{F1D8374D-EABB-46DD-84E2-E4C537B30453}"/>
    <cellStyle name="Currency 149" xfId="312" xr:uid="{00000000-0005-0000-0000-000037010000}"/>
    <cellStyle name="Currency 149 2" xfId="779" xr:uid="{E5DFB180-61B1-4874-BA3E-B541027BC068}"/>
    <cellStyle name="Currency 15" xfId="313" xr:uid="{00000000-0005-0000-0000-000038010000}"/>
    <cellStyle name="Currency 150" xfId="314" xr:uid="{00000000-0005-0000-0000-000039010000}"/>
    <cellStyle name="Currency 150 2" xfId="780" xr:uid="{48EF714C-F506-4EEC-A989-416935171719}"/>
    <cellStyle name="Currency 151" xfId="315" xr:uid="{00000000-0005-0000-0000-00003A010000}"/>
    <cellStyle name="Currency 151 2" xfId="781" xr:uid="{B01789B4-BCED-4623-AD6D-BDFED80D15FE}"/>
    <cellStyle name="Currency 152" xfId="316" xr:uid="{00000000-0005-0000-0000-00003B010000}"/>
    <cellStyle name="Currency 152 2" xfId="782" xr:uid="{E092EA9C-DBF9-4D76-9A4B-2BDEEE463282}"/>
    <cellStyle name="Currency 153" xfId="317" xr:uid="{00000000-0005-0000-0000-00003C010000}"/>
    <cellStyle name="Currency 153 2" xfId="783" xr:uid="{E9BBA7ED-2514-41B6-B539-0CFEEF77E803}"/>
    <cellStyle name="Currency 154" xfId="318" xr:uid="{00000000-0005-0000-0000-00003D010000}"/>
    <cellStyle name="Currency 154 2" xfId="784" xr:uid="{2CE435C5-2BB1-4CE9-9C8F-846A5E7D1108}"/>
    <cellStyle name="Currency 155" xfId="319" xr:uid="{00000000-0005-0000-0000-00003E010000}"/>
    <cellStyle name="Currency 155 2" xfId="785" xr:uid="{B52B65F1-EEC2-494F-9751-58E7DEED6840}"/>
    <cellStyle name="Currency 156" xfId="320" xr:uid="{00000000-0005-0000-0000-00003F010000}"/>
    <cellStyle name="Currency 156 2" xfId="786" xr:uid="{7570B654-868E-49E0-B401-A284C65C5D89}"/>
    <cellStyle name="Currency 157" xfId="321" xr:uid="{00000000-0005-0000-0000-000040010000}"/>
    <cellStyle name="Currency 157 2" xfId="787" xr:uid="{B562F37D-76BE-42D7-BE5A-16F4B96D4376}"/>
    <cellStyle name="Currency 158" xfId="322" xr:uid="{00000000-0005-0000-0000-000041010000}"/>
    <cellStyle name="Currency 158 2" xfId="788" xr:uid="{C4795F7C-C540-45B0-A7EE-67856631669E}"/>
    <cellStyle name="Currency 159" xfId="323" xr:uid="{00000000-0005-0000-0000-000042010000}"/>
    <cellStyle name="Currency 159 2" xfId="789" xr:uid="{C5C4B10A-C63B-4556-947A-9326CDF5271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790" xr:uid="{2E1017ED-32A9-4D41-96F5-DE8E6392F344}"/>
    <cellStyle name="Currency 204" xfId="374" xr:uid="{00000000-0005-0000-0000-000075010000}"/>
    <cellStyle name="Currency 204 2" xfId="791" xr:uid="{1D418E05-61E3-4C12-B7AB-52C167912EE9}"/>
    <cellStyle name="Currency 205" xfId="375" xr:uid="{00000000-0005-0000-0000-000076010000}"/>
    <cellStyle name="Currency 205 2" xfId="792" xr:uid="{95732719-0470-4042-83CD-370269164062}"/>
    <cellStyle name="Currency 206" xfId="376" xr:uid="{00000000-0005-0000-0000-000077010000}"/>
    <cellStyle name="Currency 206 2" xfId="793" xr:uid="{6C0965C9-B0DB-4397-803B-F9971259C220}"/>
    <cellStyle name="Currency 207" xfId="377" xr:uid="{00000000-0005-0000-0000-000078010000}"/>
    <cellStyle name="Currency 207 2" xfId="794" xr:uid="{90FC635E-ACE7-4ACD-96A9-AE6CFA9D0CE7}"/>
    <cellStyle name="Currency 208" xfId="378" xr:uid="{00000000-0005-0000-0000-000079010000}"/>
    <cellStyle name="Currency 208 2" xfId="795" xr:uid="{23589659-CF7D-425F-AE5A-5EA1C32C0725}"/>
    <cellStyle name="Currency 209" xfId="379" xr:uid="{00000000-0005-0000-0000-00007A010000}"/>
    <cellStyle name="Currency 209 2" xfId="796" xr:uid="{E24B2933-8CF8-4C01-B1C5-CFCA3C5C0C1C}"/>
    <cellStyle name="Currency 21" xfId="380" xr:uid="{00000000-0005-0000-0000-00007B010000}"/>
    <cellStyle name="Currency 210" xfId="381" xr:uid="{00000000-0005-0000-0000-00007C010000}"/>
    <cellStyle name="Currency 210 2" xfId="797" xr:uid="{3768B59A-A848-4D19-90B9-427BCC04E7E1}"/>
    <cellStyle name="Currency 211" xfId="382" xr:uid="{00000000-0005-0000-0000-00007D010000}"/>
    <cellStyle name="Currency 211 2" xfId="798" xr:uid="{0041197B-239E-4F0C-89F5-3E9A4E2961BF}"/>
    <cellStyle name="Currency 212" xfId="383" xr:uid="{00000000-0005-0000-0000-00007E010000}"/>
    <cellStyle name="Currency 212 2" xfId="799" xr:uid="{BA0D0161-703C-48D2-B7AC-33E87A6E0091}"/>
    <cellStyle name="Currency 213" xfId="384" xr:uid="{00000000-0005-0000-0000-00007F010000}"/>
    <cellStyle name="Currency 213 2" xfId="800" xr:uid="{95B9A788-029F-451B-992E-A7F1BCC8B570}"/>
    <cellStyle name="Currency 214" xfId="385" xr:uid="{00000000-0005-0000-0000-000080010000}"/>
    <cellStyle name="Currency 214 2" xfId="801" xr:uid="{ECB8F49A-210F-4EF2-AB6D-E81407A63854}"/>
    <cellStyle name="Currency 215" xfId="386" xr:uid="{00000000-0005-0000-0000-000081010000}"/>
    <cellStyle name="Currency 215 2" xfId="802" xr:uid="{CF7037F7-7050-42FC-A4A4-0535500F6B60}"/>
    <cellStyle name="Currency 216" xfId="387" xr:uid="{00000000-0005-0000-0000-000082010000}"/>
    <cellStyle name="Currency 216 2" xfId="803" xr:uid="{CD41C82A-BD80-4BC7-8E96-1453C5693D29}"/>
    <cellStyle name="Currency 217" xfId="388" xr:uid="{00000000-0005-0000-0000-000083010000}"/>
    <cellStyle name="Currency 217 2" xfId="804" xr:uid="{85D61AA0-0C54-4D5D-B6FB-92D4E2362439}"/>
    <cellStyle name="Currency 218" xfId="389" xr:uid="{00000000-0005-0000-0000-000084010000}"/>
    <cellStyle name="Currency 218 2" xfId="805" xr:uid="{9ACB6AB7-4806-4D3C-A170-DB39DB25C055}"/>
    <cellStyle name="Currency 219" xfId="390" xr:uid="{00000000-0005-0000-0000-000085010000}"/>
    <cellStyle name="Currency 219 2" xfId="806" xr:uid="{B5695B79-1ECC-49D0-AFDE-3CD2A2D50C34}"/>
    <cellStyle name="Currency 22" xfId="391" xr:uid="{00000000-0005-0000-0000-000086010000}"/>
    <cellStyle name="Currency 220" xfId="392" xr:uid="{00000000-0005-0000-0000-000087010000}"/>
    <cellStyle name="Currency 220 2" xfId="807" xr:uid="{4ED5618E-8CFB-4C28-9668-FF4F2A1FC46A}"/>
    <cellStyle name="Currency 221" xfId="393" xr:uid="{00000000-0005-0000-0000-000088010000}"/>
    <cellStyle name="Currency 221 2" xfId="808" xr:uid="{448A499E-6199-47F9-AE4F-7D2510C706F6}"/>
    <cellStyle name="Currency 222" xfId="394" xr:uid="{00000000-0005-0000-0000-000089010000}"/>
    <cellStyle name="Currency 222 2" xfId="809" xr:uid="{4138C3C2-CBA7-433F-9BF8-2883685F57AA}"/>
    <cellStyle name="Currency 223" xfId="395" xr:uid="{00000000-0005-0000-0000-00008A010000}"/>
    <cellStyle name="Currency 223 2" xfId="810" xr:uid="{80F153A1-25C8-4A50-B135-330687018157}"/>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11" xr:uid="{5D893866-3BE7-4CB5-90CD-847D7DB4B546}"/>
    <cellStyle name="Currency 94" xfId="474" xr:uid="{00000000-0005-0000-0000-0000D9010000}"/>
    <cellStyle name="Currency 94 2" xfId="812" xr:uid="{1273F7AE-BA59-4EAB-9B38-3B96D9622D9B}"/>
    <cellStyle name="Currency 95" xfId="475" xr:uid="{00000000-0005-0000-0000-0000DA010000}"/>
    <cellStyle name="Currency 95 2" xfId="813" xr:uid="{EAED5687-59CE-4E5D-9489-50A5358CCAB2}"/>
    <cellStyle name="Currency 96" xfId="476" xr:uid="{00000000-0005-0000-0000-0000DB010000}"/>
    <cellStyle name="Currency 96 2" xfId="814" xr:uid="{D372DEEC-F093-4FB8-8357-29F1797AE38C}"/>
    <cellStyle name="Currency 97" xfId="477" xr:uid="{00000000-0005-0000-0000-0000DC010000}"/>
    <cellStyle name="Currency 97 2" xfId="815" xr:uid="{0758DEC6-E9B4-428C-AD03-88363DE61348}"/>
    <cellStyle name="Currency 98" xfId="478" xr:uid="{00000000-0005-0000-0000-0000DD010000}"/>
    <cellStyle name="Currency 98 2" xfId="816" xr:uid="{81FCEF21-53C8-4076-A136-EB236723BBB3}"/>
    <cellStyle name="Currency 99" xfId="479" xr:uid="{00000000-0005-0000-0000-0000DE010000}"/>
    <cellStyle name="Currency 99 2" xfId="817" xr:uid="{35A5BD96-DE7C-42A9-87DD-E74FC2AD6112}"/>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18" xr:uid="{8C08488C-A5FB-4B9C-9E1A-A023CEF65581}"/>
    <cellStyle name="Normal_Sheet1" xfId="570" xr:uid="{00000000-0005-0000-0000-00003A020000}"/>
    <cellStyle name="Normale" xfId="0" builtinId="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alter.mariani@icel.it"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http://www.icel.i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650000000000006" customHeight="1">
      <c r="A29" s="296"/>
      <c r="B29" s="309"/>
      <c r="C29" s="303"/>
      <c r="D29" s="306"/>
      <c r="E29" s="294"/>
      <c r="F29" s="165" t="s">
        <v>57</v>
      </c>
      <c r="G29" s="25"/>
    </row>
    <row r="30" spans="1:7" ht="62.6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6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65"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4AAA37-936E-4BC7-9003-9F4C83BA9C6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000030B-E551-47D2-A99C-8D49A0DE8C8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v>
      </c>
      <c r="B1" s="100" t="s">
        <v>429</v>
      </c>
    </row>
    <row r="2" spans="1:2" ht="30">
      <c r="A2" s="105" t="str">
        <f ca="1">OFFSET(L!$C$1,MATCH("Instructions"&amp;ADDRESS(ROW(),COLUMN(),4),L!$A:$A,0)-1,SL,,)</f>
        <v>Introduzione</v>
      </c>
      <c r="B2" s="100" t="s">
        <v>1270</v>
      </c>
    </row>
    <row r="3" spans="1:2" ht="165">
      <c r="A3" s="102" t="str">
        <f ca="1">OFFSET(L!$C$1,MATCH("Instructions"&amp;ADDRESS(ROW(),COLUMN(),4),L!$A:$A,0)-1,SL,,)</f>
        <v>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v>
      </c>
      <c r="B3" s="100" t="s">
        <v>1271</v>
      </c>
    </row>
    <row r="4" spans="1:2" ht="222.6" customHeight="1">
      <c r="A4" s="102" t="str">
        <f ca="1">OFFSET(L!$C$1,MATCH("Instructions"&amp;ADDRESS(ROW(),COLUMN(),4),L!$A:$A,0)-1,SL,,)</f>
        <v>*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v>
      </c>
      <c r="B4" s="100" t="s">
        <v>1277</v>
      </c>
    </row>
    <row r="5" spans="1:2" ht="15">
      <c r="A5" s="106"/>
      <c r="B5" s="100"/>
    </row>
    <row r="6" spans="1:2" ht="30">
      <c r="A6" s="105" t="str">
        <f ca="1">OFFSET(L!$C$1,MATCH("Instructions"&amp;ADDRESS(ROW(),COLUMN(),4),L!$A:$A,0)-1,SL,,)</f>
        <v>Istruzioni per il completamento della sezione INFORMAZIONI SULL'AZIENDA (righe 8-22)._x000D_
Siete pregati di rispondere unicamente in Inglese.</v>
      </c>
      <c r="B6" s="100" t="s">
        <v>1270</v>
      </c>
    </row>
    <row r="7" spans="1:2" ht="15">
      <c r="A7" s="237" t="str">
        <f ca="1">OFFSET(L!$C$1,MATCH("Instructions"&amp;ADDRESS(ROW(),COLUMN(),4),L!$A:$A,0)-1,SL,,)</f>
        <v>Note: i campi con asterisco (*) sono a risposta obbligatoria</v>
      </c>
      <c r="B7" s="100"/>
    </row>
    <row r="8" spans="1:2" ht="30">
      <c r="A8" s="102" t="str">
        <f ca="1">OFFSET(L!$C$1,MATCH("Instructions"&amp;ADDRESS(ROW(),COLUMN(),4),L!$A:$A,0)-1,SL,,)</f>
        <v>1. Inserire la denominazione legale dell’Azienda. Si prega di non utilizzare abbreviazioni. In questo campo è possibile aggiungere altri nomi commerciali, DBA, ecc.</v>
      </c>
      <c r="B8" s="100"/>
    </row>
    <row r="9" spans="1:2" ht="405.6" customHeight="1">
      <c r="A9" s="146" t="str">
        <f ca="1">OFFSET(L!$C$1,MATCH("Instructions"&amp;ADDRESS(ROW(),COLUMN(),4),L!$A:$A,0)-1,SL,,)</f>
        <v>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v>
      </c>
      <c r="B9" s="100" t="s">
        <v>1269</v>
      </c>
    </row>
    <row r="10" spans="1:2" ht="36" customHeight="1">
      <c r="A10" s="102" t="str">
        <f ca="1">OFFSET(L!$C$1,MATCH("Instructions"&amp;ADDRESS(ROW(),COLUMN(),4),L!$A:$A,0)-1,SL,,)</f>
        <v>3. Inserire il codice univoco di identificazione dell'Azienda (DUNS number, Partita IVA, etc..)</v>
      </c>
      <c r="B10" s="100"/>
    </row>
    <row r="11" spans="1:2" ht="35.25" customHeight="1">
      <c r="A11" s="102" t="str">
        <f ca="1">OFFSET(L!$C$1,MATCH("Instructions"&amp;ADDRESS(ROW(),COLUMN(),4),L!$A:$A,0)-1,SL,,)</f>
        <v>4. Inserire la fonte per il codice univoco di identificazione dell'Azienda (DUNS number, Partita IVA, etc..)</v>
      </c>
      <c r="B11" s="100"/>
    </row>
    <row r="12" spans="1:2" ht="30">
      <c r="A12" s="102" t="str">
        <f ca="1">OFFSET(L!$C$1,MATCH("Instructions"&amp;ADDRESS(ROW(),COLUMN(),4),L!$A:$A,0)-1,SL,,)</f>
        <v>5. Inserire l'indirizzo completo dell'Azienda (via, città, stato, paese, codice di avviamento postale, ..). Questo campo è opzionale</v>
      </c>
      <c r="B12" s="100" t="s">
        <v>1270</v>
      </c>
    </row>
    <row r="13" spans="1:2" ht="33.75" customHeight="1">
      <c r="A13" s="102" t="str">
        <f ca="1">OFFSET(L!$C$1,MATCH("Instructions"&amp;ADDRESS(ROW(),COLUMN(),4),L!$A:$A,0)-1,SL,,)</f>
        <v>6. Indicare il nominativo di un Rappresentante Legale dell'Azienda, responsabile dell'esattezza delle informazioni trasmesse tramite questo questionario. Questo campo è obbligatorio</v>
      </c>
      <c r="B13" s="100"/>
    </row>
    <row r="14" spans="1:2" ht="30">
      <c r="A14" s="102" t="str">
        <f ca="1">OFFSET(L!$C$1,MATCH("Instructions"&amp;ADDRESS(ROW(),COLUMN(),4),L!$A:$A,0)-1,SL,,)</f>
        <v>7. Indicarel'indirizzo email di un Rappresentante Legale dell'Azienda. Se l'indirizzo email non è disponibile, scrivere "non dispobile" o "n/a". Il campo bianco può causare un errore nella compilazione. Questo campo è obbligatorio</v>
      </c>
      <c r="B14" s="100"/>
    </row>
    <row r="15" spans="1:2" ht="25.5" customHeight="1">
      <c r="A15" s="102" t="str">
        <f ca="1">OFFSET(L!$C$1,MATCH("Instructions"&amp;ADDRESS(ROW(),COLUMN(),4),L!$A:$A,0)-1,SL,,)</f>
        <v>8. Inserire il numero di telefono della persona di contatto. Questo campo è obbligatorio</v>
      </c>
      <c r="B15" s="100"/>
    </row>
    <row r="16" spans="1:2" ht="45">
      <c r="A16" s="102" t="str">
        <f ca="1">OFFSET(L!$C$1,MATCH("Instructions"&amp;ADDRESS(ROW(),COLUMN(),4),L!$A:$A,0)-1,SL,,)</f>
        <v>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v>
      </c>
      <c r="B16" s="100"/>
    </row>
    <row r="17" spans="1:2" ht="15">
      <c r="A17" s="102" t="str">
        <f ca="1">OFFSET(L!$C$1,MATCH("Instructions"&amp;ADDRESS(ROW(),COLUMN(),4),L!$A:$A,0)-1,SL,,)</f>
        <v>10. Indicare il titolo della persona responsabile della dichiariazione. Questo campo è facoltativo.</v>
      </c>
      <c r="B17" s="100"/>
    </row>
    <row r="18" spans="1:2" ht="30">
      <c r="A18" s="102" t="str">
        <f ca="1">OFFSET(L!$C$1,MATCH("Instructions"&amp;ADDRESS(ROW(),COLUMN(),4),L!$A:$A,0)-1,SL,,)</f>
        <v>11. Indicare l'indirizzo email della persona responsabile della dichiariazione. Se l'indirizzo email non è disponibile, scrivere "non dispobile" o "n/a". Il campo bianco può causare un errore nella compilazione. Questo campo è obbligatorio</v>
      </c>
      <c r="B18" s="100"/>
    </row>
    <row r="19" spans="1:2" ht="15">
      <c r="A19" s="102" t="str">
        <f ca="1">OFFSET(L!$C$1,MATCH("Instructions"&amp;ADDRESS(ROW(),COLUMN(),4),L!$A:$A,0)-1,SL,,)</f>
        <v>12. Inserire il numero di telefono della persona che fornisce l’autorizzazione. Questo campo è facoltativo.</v>
      </c>
      <c r="B19" s="100"/>
    </row>
    <row r="20" spans="1:2" ht="33.75" customHeight="1">
      <c r="A20" s="102" t="str">
        <f ca="1">OFFSET(L!$C$1,MATCH("Instructions"&amp;ADDRESS(ROW(),COLUMN(),4),L!$A:$A,0)-1,SL,,)</f>
        <v>13. Si prega di indicare la data di completamento del questionario nel formato GG-MM-YYY. Questo campo è obbligatorio</v>
      </c>
      <c r="B20" s="100"/>
    </row>
    <row r="21" spans="1:2" ht="30">
      <c r="A21" s="102" t="str">
        <f ca="1">OFFSET(L!$C$1,MATCH("Instructions"&amp;ADDRESS(ROW(),COLUMN(),4),L!$A:$A,0)-1,SL,,)</f>
        <v>14. Si prega di salvare il questionario con la seguente denominazione: Denominazione dell'Azienda-data.xls (formato data AAAA-MM-GG)</v>
      </c>
      <c r="B21" s="100" t="s">
        <v>1270</v>
      </c>
    </row>
    <row r="22" spans="1:2" ht="15">
      <c r="A22" s="106"/>
      <c r="B22" s="100"/>
    </row>
    <row r="23" spans="1:2" ht="30">
      <c r="A23" s="105" t="str">
        <f ca="1">OFFSET(L!$C$1,MATCH("Instructions"&amp;ADDRESS(ROW(),COLUMN(),4),L!$A:$A,0)-1,SL,,)</f>
        <v>Istruzioni per completare le otto domande sulla due diligence (righe 24 - 71)._x000D_
Le risposte devono essere fornite unicamente in lingua INGLESE</v>
      </c>
      <c r="B23" s="100" t="s">
        <v>1270</v>
      </c>
    </row>
    <row r="24" spans="1:2" ht="80.650000000000006" customHeight="1">
      <c r="A24" s="102" t="str">
        <f ca="1">OFFSET(L!$C$1,MATCH("Instructions"&amp;ADDRESS(ROW(),COLUMN(),4),L!$A:$A,0)-1,SL,,)</f>
        <v>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v>
      </c>
      <c r="B24" s="100" t="s">
        <v>1273</v>
      </c>
    </row>
    <row r="25" spans="1:2" ht="72" customHeight="1">
      <c r="A25" s="102" t="str">
        <f ca="1">OFFSET(L!$C$1,MATCH("Instructions"&amp;ADDRESS(ROW(),COLUMN(),4),L!$A:$A,0)-1,SL,,)</f>
        <v>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v>
      </c>
      <c r="B25" s="100" t="s">
        <v>1270</v>
      </c>
    </row>
    <row r="26" spans="1:2" ht="280.89999999999998" customHeight="1">
      <c r="A26" s="102" t="str">
        <f ca="1">OFFSET(L!$C$1,MATCH("Instructions"&amp;ADDRESS(ROW(),COLUMN(),4),L!$A:$A,0)-1,SL,,)</f>
        <v>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v>
      </c>
      <c r="B26" s="100" t="s">
        <v>1270</v>
      </c>
    </row>
    <row r="27" spans="1:2" ht="30">
      <c r="A27" s="102" t="str">
        <f ca="1">OFFSET(L!$C$1,MATCH("Instructions"&amp;ADDRESS(ROW(),COLUMN(),4),L!$A:$A,0)-1,SL,,)</f>
        <v>Alcune aziende potrebbero richiedere di sostanziare il NO, ciò può essere fatto nel campo Commenti</v>
      </c>
      <c r="B27" s="100" t="s">
        <v>1270</v>
      </c>
    </row>
    <row r="28" spans="1:2" ht="247.5" customHeight="1">
      <c r="A28" s="102" t="str">
        <f ca="1">OFFSET(L!$C$1,MATCH("Instructions"&amp;ADDRESS(ROW(),COLUMN(),4),L!$A:$A,0)-1,SL,,)</f>
        <v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v>
      </c>
      <c r="B28" s="100"/>
    </row>
    <row r="29" spans="1:2" ht="157.15" customHeight="1">
      <c r="A29" s="102" t="str">
        <f ca="1">OFFSET(L!$C$1,MATCH("Instructions"&amp;ADDRESS(ROW(),COLUMN(),4),L!$A:$A,0)-1,SL,,)</f>
        <v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v>
      </c>
      <c r="B29" s="100" t="s">
        <v>1270</v>
      </c>
    </row>
    <row r="30" spans="1:2" ht="181.9" customHeight="1">
      <c r="A30" s="102" t="str">
        <f ca="1">OFFSET(L!$C$1,MATCH("Instructions"&amp;ADDRESS(ROW(),COLUMN(),4),L!$A:$A,0)-1,SL,,)</f>
        <v>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v>
      </c>
      <c r="B30" s="100"/>
    </row>
    <row r="31" spans="1:2" ht="135">
      <c r="A31" s="102" t="str">
        <f ca="1">OFFSET(L!$C$1,MATCH("Instructions"&amp;ADDRESS(ROW(),COLUMN(),4),L!$A:$A,0)-1,SL,,)</f>
        <v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v>
      </c>
      <c r="B31" s="100" t="s">
        <v>1270</v>
      </c>
    </row>
    <row r="32" spans="1:2" ht="234.6" customHeight="1">
      <c r="A32" s="102" t="str">
        <f ca="1">OFFSET(L!$C$1,MATCH("Instructions"&amp;ADDRESS(ROW(),COLUMN(),4),L!$A:$A,0)-1,SL,,)</f>
        <v>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v>
      </c>
      <c r="B32" s="100" t="s">
        <v>1273</v>
      </c>
    </row>
    <row r="33" spans="1:2" ht="75">
      <c r="A33" s="102" t="str">
        <f ca="1">OFFSET(L!$C$1,MATCH("Instructions"&amp;ADDRESS(ROW(),COLUMN(),4),L!$A:$A,0)-1,SL,,)</f>
        <v>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v>
      </c>
      <c r="B33" s="100"/>
    </row>
    <row r="34" spans="1:2" ht="60">
      <c r="A34" s="102" t="str">
        <f ca="1">OFFSET(L!$C$1,MATCH("Instructions"&amp;ADDRESS(ROW(),COLUMN(),4),L!$A:$A,0)-1,SL,,)</f>
        <v>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v>
      </c>
      <c r="B34" s="100" t="s">
        <v>1270</v>
      </c>
    </row>
    <row r="35" spans="1:2" ht="21" customHeight="1">
      <c r="A35" s="102" t="str">
        <f ca="1">OFFSET(L!$C$1,MATCH("Instructions"&amp;ADDRESS(ROW(),COLUMN(),4),L!$A:$A,0)-1,SL,,)</f>
        <v>Se necessario siete pregati di inserire i vostri commenti nella sezione prevista per chiarire le vostre risposte</v>
      </c>
      <c r="B35" s="100"/>
    </row>
    <row r="36" spans="1:2" ht="15">
      <c r="A36" s="106"/>
      <c r="B36" s="100"/>
    </row>
    <row r="37" spans="1:2" ht="45">
      <c r="A37" s="105" t="str">
        <f ca="1">OFFSET(L!$C$1,MATCH("Instructions"&amp;ADDRESS(ROW(),COLUMN(),4),L!$A:$A,0)-1,SL,,)</f>
        <v>Istruzioni per il completamento delle domande A– H (righe 75 - 89).  Le domande dalla A. alla I. sono obbligatorie se la risposta alla domanda 1 è "Sì" per qualsiasi metallo._x000D_
Le risposte devono essere fornite unicamente in lingua INGLESE</v>
      </c>
      <c r="B37" s="100" t="s">
        <v>1270</v>
      </c>
    </row>
    <row r="38" spans="1:2" ht="135">
      <c r="A38" s="102" t="str">
        <f ca="1">OFFSET(L!$C$1,MATCH("Instructions"&amp;ADDRESS(ROW(),COLUMN(),4),L!$A:$A,0)-1,SL,,)</f>
        <v>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v>
      </c>
      <c r="B38" s="100" t="s">
        <v>1272</v>
      </c>
    </row>
    <row r="39" spans="1:2" ht="75">
      <c r="A39" s="102" t="str">
        <f ca="1">OFFSET(L!$C$1,MATCH("Instructions"&amp;ADDRESS(ROW(),COLUMN(),4),L!$A:$A,0)-1,SL,,)</f>
        <v>A. Questa dichiarazione serve a comunicare se una società adotta una politica di approvvigionamento dei minerali responsabile. La risposta a questa domanda può essere “Sì” o “No”. I commenti devono essere inseriti nel campo commenti. _x000D_
_x000D_
Questa domanda è obbligatoria.</v>
      </c>
      <c r="B39" s="100"/>
    </row>
    <row r="40" spans="1:2" ht="65.650000000000006" customHeight="1">
      <c r="A40" s="102" t="str">
        <f ca="1">OFFSET(L!$C$1,MATCH("Instructions"&amp;ADDRESS(ROW(),COLUMN(),4),L!$A:$A,0)-1,SL,,)</f>
        <v>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v>
      </c>
      <c r="B40" s="100"/>
    </row>
    <row r="41" spans="1:2" ht="75">
      <c r="A41" s="102" t="str">
        <f ca="1">OFFSET(L!$C$1,MATCH("Instructions"&amp;ADDRESS(ROW(),COLUMN(),4),L!$A:$A,0)-1,SL,,)</f>
        <v>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v>
      </c>
      <c r="B41" s="100" t="s">
        <v>1275</v>
      </c>
    </row>
    <row r="42" spans="1:2" ht="195">
      <c r="A42" s="102" t="str">
        <f ca="1">OFFSET(L!$C$1,MATCH("Instructions"&amp;ADDRESS(ROW(),COLUMN(),4),L!$A:$A,0)-1,SL,,)</f>
        <v>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v>
      </c>
      <c r="B42" s="100" t="s">
        <v>1273</v>
      </c>
    </row>
    <row r="43" spans="1:2" ht="150">
      <c r="A43" s="102" t="str">
        <f ca="1">OFFSET(L!$C$1,MATCH("Instructions"&amp;ADDRESS(ROW(),COLUMN(),4),L!$A:$A,0)-1,SL,,)</f>
        <v>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v>
      </c>
      <c r="B43" s="100" t="s">
        <v>1274</v>
      </c>
    </row>
    <row r="44" spans="1:2" ht="135">
      <c r="A44" s="102" t="str">
        <f ca="1">OFFSET(L!$C$1,MATCH("Instructions"&amp;ADDRESS(ROW(),COLUMN(),4),L!$A:$A,0)-1,SL,,)</f>
        <v>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v>
      </c>
      <c r="B44" s="100" t="s">
        <v>1270</v>
      </c>
    </row>
    <row r="45" spans="1:2" ht="120">
      <c r="A45" s="102" t="str">
        <f ca="1">OFFSET(L!$C$1,MATCH("Instructions"&amp;ADDRESS(ROW(),COLUMN(),4),L!$A:$A,0)-1,SL,,)</f>
        <v>G. Questa domanda è volta a comunicare se il processo di verifica della società prevede la gestione di azioni correttive.  La risposta a questa domanda può essere "sì" o "no". I commenti devono essere inseriti nel campo commenti._x000D_
_x000D_
Questa domanda è obbligatoria.</v>
      </c>
      <c r="B45" s="100" t="s">
        <v>1271</v>
      </c>
    </row>
    <row r="46" spans="1:2" ht="85.5" customHeight="1">
      <c r="A46" s="102" t="str">
        <f ca="1">OFFSET(L!$C$1,MATCH("Instructions"&amp;ADDRESS(ROW(),COLUMN(),4),L!$A:$A,0)-1,SL,,)</f>
        <v>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v>
      </c>
      <c r="B46" s="100" t="s">
        <v>1270</v>
      </c>
    </row>
    <row r="47" spans="1:2" ht="15">
      <c r="A47" s="106"/>
      <c r="B47" s="100"/>
    </row>
    <row r="48" spans="1:2" ht="30">
      <c r="A48" s="105" t="str">
        <f ca="1">OFFSET(L!$C$1,MATCH("Instructions"&amp;ADDRESS(ROW(),COLUMN(),4),L!$A:$A,0)-1,SL,,)</f>
        <v>Istruzioni per il completamento della lista delle fonderie._x000D_
Si prega di rispondere unicamente in IngleseIs</v>
      </c>
      <c r="B48" s="100" t="s">
        <v>1270</v>
      </c>
    </row>
    <row r="49" spans="1:2" ht="22.5" customHeight="1">
      <c r="A49" s="237" t="str">
        <f ca="1">OFFSET(L!$C$1,MATCH("Instructions"&amp;ADDRESS(ROW(),COLUMN(),4),L!$A:$A,0)-1,SL,,)</f>
        <v>Note: le colonne con asterisco (*) identificano dei campi a risposta obbligatoria</v>
      </c>
      <c r="B49" s="100"/>
    </row>
    <row r="50" spans="1:2" ht="60">
      <c r="A50" s="102" t="str">
        <f ca="1">OFFSET(L!$C$1,MATCH("Instructions"&amp;ADDRESS(ROW(),COLUMN(),4),L!$A:$A,0)-1,SL,,)</f>
        <v>Questo modello consente di identificare le fonderie tramite la Ricerca fonderia. Le colonne B e C devono essere completate da sinistra a destra per utilizzare la funzionalità di Ricerca fonderia._x000D_
Utilizzare una riga diversa per ciascuna combinazione di metallo/fonderia/paese.</v>
      </c>
      <c r="B50" s="100" t="s">
        <v>1269</v>
      </c>
    </row>
    <row r="51" spans="1:2" ht="51" customHeight="1">
      <c r="A51" s="102" t="str">
        <f ca="1">OFFSET(L!$C$1,MATCH("Instructions"&amp;ADDRESS(ROW(),COLUMN(),4),L!$A:$A,0)-1,SL,,)</f>
        <v>1. Colonna di immissione identificativo fonderia - Se si conosce il numero identificativo della fonderia, immetterlo nella colonna A (le colonne B, C, E, F, G, I e J verranno popolate automaticamente). La colonna A non viene popolata automaticamente.</v>
      </c>
      <c r="B51" s="100" t="s">
        <v>1270</v>
      </c>
    </row>
    <row r="52" spans="1:2" ht="44.65" customHeight="1">
      <c r="A52" s="102" t="str">
        <f ca="1">OFFSET(L!$C$1,MATCH("Instructions"&amp;ADDRESS(ROW(),COLUMN(),4),L!$A:$A,0)-1,SL,,)</f>
        <v>2. Metallo (*) - Usare il menu a tendina per selezionare il metallo per il quale state inserendo l'informazione sulle fonderie. Questo campo è obbligatorio</v>
      </c>
      <c r="B52" s="100"/>
    </row>
    <row r="53" spans="1:2" ht="79.150000000000006" customHeight="1">
      <c r="A53" s="156" t="str">
        <f ca="1">OFFSET(L!$C$1,MATCH("Instructions"&amp;ADDRESS(ROW(),COLUMN(),4),L!$A:$A,0)-1,SL,,)</f>
        <v>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v>
      </c>
      <c r="B53" s="100" t="s">
        <v>1270</v>
      </c>
    </row>
    <row r="54" spans="1:2" ht="60">
      <c r="A54" s="102" t="str">
        <f ca="1">OFFSET(L!$C$1,MATCH("Instructions"&amp;ADDRESS(ROW(),COLUMN(),4),L!$A:$A,0)-1,SL,,)</f>
        <v>4. Nome della fonderia (1) -  Inserire il nome della fonderia se avete selezionato " fonderia non presente" nella colonna C. Questo campo verrà popolato automaticamente quando verrà inserito il nome dell fonderia nella colonna C.  Questo campo è obbligatorio.</v>
      </c>
      <c r="B54" s="100" t="s">
        <v>1269</v>
      </c>
    </row>
    <row r="55" spans="1:2" ht="75">
      <c r="A55" s="102" t="str">
        <f ca="1">OFFSET(L!$C$1,MATCH("Instructions"&amp;ADDRESS(ROW(),COLUMN(),4),L!$A:$A,0)-1,SL,,)</f>
        <v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v>
      </c>
      <c r="B55" s="100" t="s">
        <v>1275</v>
      </c>
    </row>
    <row r="56" spans="1:2" ht="60">
      <c r="A56" s="102" t="str">
        <f ca="1">OFFSET(L!$C$1,MATCH("Instructions"&amp;ADDRESS(ROW(),COLUMN(),4),L!$A:$A,0)-1,SL,,)</f>
        <v>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v>
      </c>
      <c r="B56" s="100" t="s">
        <v>1269</v>
      </c>
    </row>
    <row r="57" spans="1:2" ht="60">
      <c r="A57" s="102" t="str">
        <f ca="1">OFFSET(L!$C$1,MATCH("Instructions"&amp;ADDRESS(ROW(),COLUMN(),4),L!$A:$A,0)-1,SL,,)</f>
        <v>7. Fonte del numero di identificazone della fonderia - Questa è l'origine del numero di identificazione della fonderia inserito nella colonna F. Se un nome di fonderia è stato selezionato nella colonna C utilizzando la casella a discesa, questo campo si auto popola.</v>
      </c>
      <c r="B57" s="100" t="s">
        <v>1269</v>
      </c>
    </row>
    <row r="58" spans="1:2" ht="60">
      <c r="A58" s="102" t="str">
        <f ca="1">OFFSET(L!$C$1,MATCH("Instructions"&amp;ADDRESS(ROW(),COLUMN(),4),L!$A:$A,0)-1,SL,,)</f>
        <v>8. Sedi delle Fonderie: strada/via - Inserire la via/strada della fonderia che esegue il trattamento di trasformazione dei minerali che entrano nella vostra catena di fornitura. Questo campo è facoltativo.</v>
      </c>
      <c r="B58" s="100" t="s">
        <v>1269</v>
      </c>
    </row>
    <row r="59" spans="1:2" ht="30">
      <c r="A59" s="102" t="str">
        <f ca="1">OFFSET(L!$C$1,MATCH("Instructions"&amp;ADDRESS(ROW(),COLUMN(),4),L!$A:$A,0)-1,SL,,)</f>
        <v>9. Sedi delle Fonderie: città - inserire la città della fonderia che esegue il trattamento di trasformazione dei minerali che entrano nella vostra catena di fornitura.  Questo campo è facoltativo.</v>
      </c>
      <c r="B59" s="100" t="s">
        <v>1270</v>
      </c>
    </row>
    <row r="60" spans="1:2" ht="45" customHeight="1">
      <c r="A60" s="102" t="str">
        <f ca="1">OFFSET(L!$C$1,MATCH("Instructions"&amp;ADDRESS(ROW(),COLUMN(),4),L!$A:$A,0)-1,SL,,)</f>
        <v>10. Sedi delle Fonderie:  Stato (se applicabile) - inserire lo Stato della fonderia che esegue il trattamento di trasformazione dei minerali che entrano nella vostra catena di fornitura. Questo campo è facoltativo.</v>
      </c>
      <c r="B60" s="100" t="s">
        <v>1273</v>
      </c>
    </row>
    <row r="61" spans="1:2" ht="225">
      <c r="A61" s="102" t="str">
        <f ca="1">OFFSET(L!$C$1,MATCH("Instructions"&amp;ADDRESS(ROW(),COLUMN(),4),L!$A:$A,0)-1,SL,,)</f>
        <v>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v>
      </c>
      <c r="B61" s="100" t="s">
        <v>1273</v>
      </c>
    </row>
    <row r="62" spans="1:2" ht="60">
      <c r="A62" s="102" t="str">
        <f ca="1">OFFSET(L!$C$1,MATCH("Instructions"&amp;ADDRESS(ROW(),COLUMN(),4),L!$A:$A,0)-1,SL,,)</f>
        <v>12. Nome del contatto della Fonderia: Inserire l'indirizzo e-mail della persona della fonderia identificata. Esempio: John.Smith@fonderiaXXX.com. Si prega di rivedere le istruzioni relative alla persona di contatto della fonderia prima di completare questo campo.</v>
      </c>
      <c r="B62" s="100" t="s">
        <v>1269</v>
      </c>
    </row>
    <row r="63" spans="1:2" ht="125.45" customHeight="1">
      <c r="A63" s="102" t="str">
        <f ca="1">OFFSET(L!$C$1,MATCH("Instructions"&amp;ADDRESS(ROW(),COLUMN(),4),L!$A:$A,0)-1,SL,,)</f>
        <v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v>
      </c>
      <c r="B63" s="100" t="s">
        <v>1269</v>
      </c>
    </row>
    <row r="64" spans="1:2" ht="136.15" customHeight="1">
      <c r="A64" s="102" t="str">
        <f ca="1">OFFSET(L!$C$1,MATCH("Instructions"&amp;ADDRESS(ROW(),COLUMN(),4),L!$A:$A,0)-1,SL,,)</f>
        <v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v>
      </c>
      <c r="B64" s="100"/>
    </row>
    <row r="65" spans="1:2" ht="90">
      <c r="A65" s="102" t="str">
        <f ca="1">OFFSET(L!$C$1,MATCH("Instructions"&amp;ADDRESS(ROW(),COLUMN(),4),L!$A:$A,0)-1,SL,,)</f>
        <v>15. Indica se i materiali utilizzati per il/i processo/i della fonderia derivano esclusivamente da fonti riciclate o di scarto. Questa domanda è facoltativa.  Le risposte a questa domanda sono:_x000D_
_x000D_
- Sì_x000D_
- No_x000D_
- Sconosciuto</v>
      </c>
      <c r="B65" s="100"/>
    </row>
    <row r="66" spans="1:2" ht="110.25" customHeight="1">
      <c r="A66" s="102" t="str">
        <f ca="1">OFFSET(L!$C$1,MATCH("Instructions"&amp;ADDRESS(ROW(),COLUMN(),4),L!$A:$A,0)-1,SL,,)</f>
        <v>16. Commenti – campo testo libero per inserire commenti relative alle fonderie.  Esempio: la fonderia è stata acquisita dalla Società YYY</v>
      </c>
      <c r="B66" s="100"/>
    </row>
    <row r="67" spans="1:2" ht="15">
      <c r="A67" s="107"/>
      <c r="B67" s="100"/>
    </row>
    <row r="68" spans="1:2" ht="34.5" customHeight="1">
      <c r="A68" s="105" t="str">
        <f ca="1">OFFSET(L!$C$1,MATCH("Instructions"&amp;ADDRESS(ROW(),COLUMN(),4),L!$A:$A,0)-1,SL,,)</f>
        <v>Condizioni Generali In caso di conflitto, la versione inglese del presente modulo sui conflict mineral dovrà essere considerata prevalente.</v>
      </c>
      <c r="B68" s="100"/>
    </row>
    <row r="69" spans="1:2" ht="15">
      <c r="A69" s="107"/>
      <c r="B69" s="100"/>
    </row>
    <row r="70" spans="1:2" ht="80.650000000000006" customHeight="1">
      <c r="A70" s="105" t="str">
        <f ca="1">OFFSET(L!$C$1,MATCH("Instructions"&amp;ADDRESS(ROW(),COLUMN(),4),L!$A:$A,0)-1,SL,,)</f>
        <v>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v>
      </c>
      <c r="B70" s="100" t="s">
        <v>1270</v>
      </c>
    </row>
    <row r="71" spans="1:2" ht="93.6" customHeight="1">
      <c r="A71" s="237" t="str">
        <f ca="1">OFFSET(L!$C$1,MATCH("Instructions"&amp;ADDRESS(ROW(),COLUMN(),4),L!$A:$A,0)-1,SL,,)</f>
        <v>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v>
      </c>
      <c r="B71" s="100" t="s">
        <v>1276</v>
      </c>
    </row>
    <row r="72" spans="1:2" ht="155.44999999999999" customHeight="1">
      <c r="A72" s="237" t="str">
        <f ca="1">OFFSET(L!$C$1,MATCH("Instructions"&amp;ADDRESS(ROW(),COLUMN(),4),L!$A:$A,0)-1,SL,,)</f>
        <v>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v>
      </c>
      <c r="B72" s="100" t="s">
        <v>1274</v>
      </c>
    </row>
    <row r="73" spans="1:2" ht="75">
      <c r="A73" s="237" t="str">
        <f ca="1">OFFSET(L!$C$1,MATCH("Instructions"&amp;ADDRESS(ROW(),COLUMN(),4),L!$A:$A,0)-1,SL,,)</f>
        <v>Qualora una clausola delle presenti Termini e Condizioni risulti invalida perché in contrasto con la legge applicabile, la restante parte dei presenti Termini e Condizioni dovrà rimanere pienamente in vigore.</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Articolo</v>
      </c>
      <c r="C2" s="137" t="str">
        <f ca="1">OFFSET(L!$C$1,MATCH("Definitions"&amp;ADDRESS(ROW(),COLUMN(),4),L!$A:$A,0)-1,SL,,)</f>
        <v>DEFINIZIONE</v>
      </c>
      <c r="D2" s="321"/>
      <c r="E2" s="101"/>
    </row>
    <row r="3" spans="1:5" ht="64.150000000000006" customHeight="1">
      <c r="A3" s="74"/>
      <c r="B3" s="63" t="str">
        <f ca="1">OFFSET(L!$C$1,MATCH("Definitions"&amp;ADDRESS(ROW(),COLUMN(),4),L!$A:$A,0)-1,SL,,)</f>
        <v>3TG</v>
      </c>
      <c r="C3" s="63" t="str">
        <f ca="1">OFFSET(L!$C$1,MATCH("Definitions"&amp;ADDRESS(ROW(),COLUMN(),4),L!$A:$A,0)-1,SL,,)</f>
        <v>Tantalio, stagno, tungsteno, oro</v>
      </c>
      <c r="D3" s="321"/>
      <c r="E3" s="100" t="s">
        <v>1278</v>
      </c>
    </row>
    <row r="4" spans="1:5" ht="63.75" customHeight="1">
      <c r="A4" s="74"/>
      <c r="B4" s="63" t="str">
        <f ca="1">OFFSET(L!$C$1,MATCH("Definitions"&amp;ADDRESS(ROW(),COLUMN(),4),L!$A:$A,0)-1,SL,,)</f>
        <v>Autorizzatore</v>
      </c>
      <c r="C4" s="63" t="str">
        <f ca="1">OFFSET(L!$C$1,MATCH("Definitions"&amp;ADDRESS(ROW(),COLUMN(),4),L!$A:$A,0)-1,SL,,)</f>
        <v>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v>
      </c>
      <c r="D4" s="321"/>
      <c r="E4" s="100"/>
    </row>
    <row r="5" spans="1:5" ht="60">
      <c r="A5" s="74"/>
      <c r="B5" s="63" t="str">
        <f ca="1">OFFSET(L!$C$1,MATCH("Definitions"&amp;ADDRESS(ROW(),COLUMN(),4),L!$A:$A,0)-1,SL,,)</f>
        <v>Zona di conflitto e ad alto rischio (CAHRA)</v>
      </c>
      <c r="C5" s="63" t="str">
        <f ca="1">OFFSET(L!$C$1,MATCH("Definitions"&amp;ADDRESS(ROW(),COLUMN(),4),L!$A:$A,0)-1,SL,,)</f>
        <v>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v>
      </c>
      <c r="D5" s="321"/>
      <c r="E5" s="100"/>
    </row>
    <row r="6" spans="1:5" ht="151.15" customHeight="1">
      <c r="A6" s="74"/>
      <c r="B6" s="63" t="str">
        <f ca="1">OFFSET(L!$C$1,MATCH("Definitions"&amp;ADDRESS(ROW(),COLUMN(),4),L!$A:$A,0)-1,SL,,)</f>
        <v>Minerali di conflitto (conflict minerals)</v>
      </c>
      <c r="C6" s="63" t="str">
        <f ca="1">OFFSET(L!$C$1,MATCH("Definitions"&amp;ADDRESS(ROW(),COLUMN(),4),L!$A:$A,0)-1,SL,,)</f>
        <v>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v>
      </c>
      <c r="D6" s="321"/>
      <c r="E6" s="100" t="s">
        <v>1279</v>
      </c>
    </row>
    <row r="7" spans="1:5" ht="105.6" customHeight="1">
      <c r="A7" s="74"/>
      <c r="B7" s="63" t="str">
        <f ca="1">OFFSET(L!$C$1,MATCH("Definitions"&amp;ADDRESS(ROW(),COLUMN(),4),L!$A:$A,0)-1,SL,,)</f>
        <v>Stato/i coperti</v>
      </c>
      <c r="C7" s="63" t="str">
        <f ca="1">OFFSET(L!$C$1,MATCH("Definitions"&amp;ADDRESS(ROW(),COLUMN(),4),L!$A:$A,0)-1,SL,,)</f>
        <v>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v>
      </c>
      <c r="D7" s="321"/>
      <c r="E7" s="100" t="s">
        <v>1279</v>
      </c>
    </row>
    <row r="8" spans="1:5" ht="135">
      <c r="A8" s="74"/>
      <c r="B8" s="63" t="str">
        <f ca="1">OFFSET(L!$C$1,MATCH("Definitions"&amp;ADDRESS(ROW(),COLUMN(),4),L!$A:$A,0)-1,SL,,)</f>
        <v>Perimetro della dichiarazione</v>
      </c>
      <c r="C8" s="63" t="str">
        <f ca="1">OFFSET(L!$C$1,MATCH("Definitions"&amp;ADDRESS(ROW(),COLUMN(),4),L!$A:$A,0)-1,SL,,)</f>
        <v>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v>
      </c>
      <c r="D8" s="321"/>
      <c r="E8" s="100" t="s">
        <v>1282</v>
      </c>
    </row>
    <row r="9" spans="1:5" ht="60">
      <c r="A9" s="74"/>
      <c r="B9" s="63" t="str">
        <f ca="1">OFFSET(L!$C$1,MATCH("Definitions"&amp;ADDRESS(ROW(),COLUMN(),4),L!$A:$A,0)-1,SL,,)</f>
        <v>Dodd-Frank</v>
      </c>
      <c r="C9" s="63" t="str">
        <f ca="1">OFFSET(L!$C$1,MATCH("Definitions"&amp;ADDRESS(ROW(),COLUMN(),4),L!$A:$A,0)-1,SL,,)</f>
        <v>La legge 2010 degli Stati Uniti d'America, Riforma Dodd-Frank Wall Street e Consumer Protection Act, Sezione 1502 ("Dodd-Frank") (http://www.sec.gov/about/laws/wallstreetreform-cpa.pdf)</v>
      </c>
      <c r="D9" s="321"/>
      <c r="E9" s="100" t="s">
        <v>1279</v>
      </c>
    </row>
    <row r="10" spans="1:5" ht="45">
      <c r="A10" s="74"/>
      <c r="B10" s="63" t="str">
        <f ca="1">OFFSET(L!$C$1,MATCH("Definitions"&amp;ADDRESS(ROW(),COLUMN(),4),L!$A:$A,0)-1,SL,,)</f>
        <v>RDC</v>
      </c>
      <c r="C10" s="63" t="str">
        <f ca="1">OFFSET(L!$C$1,MATCH("Definitions"&amp;ADDRESS(ROW(),COLUMN(),4),L!$A:$A,0)-1,SL,,)</f>
        <v>Repubblica Democratica del Congo</v>
      </c>
      <c r="D10" s="321"/>
      <c r="E10" s="100" t="s">
        <v>1278</v>
      </c>
    </row>
    <row r="11" spans="1:5" ht="75" hidden="1">
      <c r="A11" s="74"/>
      <c r="B11" s="63" t="str">
        <f ca="1">OFFSET(L!$C$1,MATCH("Definitions"&amp;ADDRESS(ROW(),COLUMN(),4),L!$A:$A,0)-1,SL,,)</f>
        <v>DRC senza conflitti</v>
      </c>
      <c r="C11" s="63" t="str">
        <f ca="1">OFFSET(L!$C$1,MATCH("Definitions"&amp;ADDRESS(ROW(),COLUMN(),4),L!$A:$A,0)-1,SL,,)</f>
        <v>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v>
      </c>
      <c r="D11" s="321"/>
      <c r="E11" s="100" t="s">
        <v>1278</v>
      </c>
    </row>
    <row r="12" spans="1:5" ht="75">
      <c r="A12" s="74"/>
      <c r="B12" s="63" t="str">
        <f ca="1">OFFSET(L!$C$1,MATCH("Definitions"&amp;ADDRESS(ROW(),COLUMN(),4),L!$A:$A,0)-1,SL,,)</f>
        <v>Fonderie/raffinerie d'oro</v>
      </c>
      <c r="C12" s="63" t="str">
        <f ca="1">OFFSET(L!$C$1,MATCH("Definitions"&amp;ADDRESS(ROW(),COLUMN(),4),L!$A:$A,0)-1,SL,,)</f>
        <v>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v>
      </c>
      <c r="D12" s="321"/>
      <c r="E12" s="100" t="s">
        <v>1278</v>
      </c>
    </row>
    <row r="13" spans="1:5" ht="107.25" customHeight="1">
      <c r="A13" s="74"/>
      <c r="B13" s="63" t="str">
        <f ca="1">OFFSET(L!$C$1,MATCH("Definitions"&amp;ADDRESS(ROW(),COLUMN(),4),L!$A:$A,0)-1,SL,,)</f>
        <v>Società privata indipendente di revisione</v>
      </c>
      <c r="C13" s="63" t="str">
        <f ca="1">OFFSET(L!$C$1,MATCH("Definitions"&amp;ADDRESS(ROW(),COLUMN(),4),L!$A:$A,0)-1,SL,,)</f>
        <v>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v>
      </c>
      <c r="D13" s="321"/>
      <c r="E13" s="100" t="s">
        <v>1280</v>
      </c>
    </row>
    <row r="14" spans="1:5" ht="330">
      <c r="A14" s="74"/>
      <c r="B14" s="63" t="str">
        <f ca="1">OFFSET(L!$C$1,MATCH("Definitions"&amp;ADDRESS(ROW(),COLUMN(),4),L!$A:$A,0)-1,SL,,)</f>
        <v>Aggiunto intenzionalmente</v>
      </c>
      <c r="C14" s="63" t="str">
        <f ca="1">OFFSET(L!$C$1,MATCH("Definitions"&amp;ADDRESS(ROW(),COLUMN(),4),L!$A:$A,0)-1,SL,,)</f>
        <v>Intenzionalmente aggiunto è comunemente che una sostanza viene aggiunta a una o più fasi del ciclo di vita di un prodotto allo scopo di conferire una particolare proprietà, reazione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v>
      </c>
      <c r="D15" s="321"/>
      <c r="E15" s="100" t="s">
        <v>1278</v>
      </c>
    </row>
    <row r="16" spans="1:5" ht="60">
      <c r="A16" s="74"/>
      <c r="B16" s="63" t="str">
        <f ca="1">OFFSET(L!$C$1,MATCH("Definitions"&amp;ADDRESS(ROW(),COLUMN(),4),L!$A:$A,0)-1,SL,,)</f>
        <v>IPC-1755 Conflict Minerals Data Exchange Standard</v>
      </c>
      <c r="C16" s="63" t="str">
        <f ca="1">OFFSET(L!$C$1,MATCH("Definitions"&amp;ADDRESS(ROW(),COLUMN(),4),L!$A:$A,0)-1,SL,,)</f>
        <v>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v>
      </c>
      <c r="D16" s="321"/>
      <c r="E16" s="100" t="s">
        <v>1278</v>
      </c>
    </row>
    <row r="17" spans="1:5" ht="180">
      <c r="A17" s="74"/>
      <c r="B17" s="63" t="str">
        <f ca="1">OFFSET(L!$C$1,MATCH("Definitions"&amp;ADDRESS(ROW(),COLUMN(),4),L!$A:$A,0)-1,SL,,)</f>
        <v>Necessario per la funzionalità del prodotto</v>
      </c>
      <c r="C17" s="63" t="str">
        <f ca="1">OFFSET(L!$C$1,MATCH("Definitions"&amp;ADDRESS(ROW(),COLUMN(),4),L!$A:$A,0)-1,SL,,)</f>
        <v>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v>
      </c>
      <c r="D17" s="321"/>
      <c r="E17" s="100" t="s">
        <v>1278</v>
      </c>
    </row>
    <row r="18" spans="1:5" ht="165">
      <c r="A18" s="74"/>
      <c r="B18" s="63" t="str">
        <f ca="1">OFFSET(L!$C$1,MATCH("Definitions"&amp;ADDRESS(ROW(),COLUMN(),4),L!$A:$A,0)-1,SL,,)</f>
        <v>Necessario per la produzione di un prodotto</v>
      </c>
      <c r="C18" s="63" t="str">
        <f ca="1">OFFSET(L!$C$1,MATCH("Definitions"&amp;ADDRESS(ROW(),COLUMN(),4),L!$A:$A,0)-1,SL,,)</f>
        <v>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v>
      </c>
      <c r="D18" s="321"/>
      <c r="E18" s="100" t="s">
        <v>1278</v>
      </c>
    </row>
    <row r="19" spans="1:5" ht="15">
      <c r="A19" s="74"/>
      <c r="B19" s="63" t="str">
        <f ca="1">OFFSET(L!$C$1,MATCH("Definitions"&amp;ADDRESS(ROW(),COLUMN(),4),L!$A:$A,0)-1,SL,,)</f>
        <v>OECD</v>
      </c>
      <c r="C19" s="63" t="str">
        <f ca="1">OFFSET(L!$C$1,MATCH("Definitions"&amp;ADDRESS(ROW(),COLUMN(),4),L!$A:$A,0)-1,SL,,)</f>
        <v>Organizzazione per la Cooperazione e lo Sviluppo Economico</v>
      </c>
      <c r="D19" s="321"/>
      <c r="E19" s="100"/>
    </row>
    <row r="20" spans="1:5" ht="30">
      <c r="A20" s="74"/>
      <c r="B20" s="63" t="str">
        <f ca="1">OFFSET(L!$C$1,MATCH("Definitions"&amp;ADDRESS(ROW(),COLUMN(),4),L!$A:$A,0)-1,SL,,)</f>
        <v>Prodotto</v>
      </c>
      <c r="C20" s="63" t="str">
        <f ca="1">OFFSET(L!$C$1,MATCH("Definitions"&amp;ADDRESS(ROW(),COLUMN(),4),L!$A:$A,0)-1,SL,,)</f>
        <v>La produzione dell'azienda o il prodotto finito è un materiale o un oggetto che ha completato lo stadio finale della produzione ed è pronto per la distribuzione o la vendita ai clienti</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Materiale riciclato e scorie</v>
      </c>
      <c r="C22" s="63" t="str">
        <f ca="1">OFFSET(L!$C$1,MATCH("Definitions"&amp;ADDRESS(ROW(),COLUMN(),4),L!$A:$A,0)-1,SL,,)</f>
        <v>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v>
      </c>
      <c r="D22" s="321"/>
      <c r="E22" s="100"/>
    </row>
    <row r="23" spans="1:5" ht="75">
      <c r="A23" s="74"/>
      <c r="B23" s="63" t="str">
        <f ca="1">OFFSET(L!$C$1,MATCH("Definitions"&amp;ADDRESS(ROW(),COLUMN(),4),L!$A:$A,0)-1,SL,,)</f>
        <v>Responsible Minerals Assurance Process (RMAP)</v>
      </c>
      <c r="C23" s="63" t="str">
        <f ca="1">OFFSET(L!$C$1,MATCH("Definitions"&amp;ADDRESS(ROW(),COLUMN(),4),L!$A:$A,0)-1,SL,,)</f>
        <v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v>
      </c>
      <c r="D23" s="321"/>
      <c r="E23" s="100"/>
    </row>
    <row r="24" spans="1:5" ht="168" customHeight="1">
      <c r="A24" s="74"/>
      <c r="B24" s="63" t="str">
        <f ca="1">OFFSET(L!$C$1,MATCH("Definitions"&amp;ADDRESS(ROW(),COLUMN(),4),L!$A:$A,0)-1,SL,,)</f>
        <v>Responsible Minerals Initiative (Iniziativa di Sourcing libera dai conflitti)</v>
      </c>
      <c r="C24" s="63" t="str">
        <f ca="1">OFFSET(L!$C$1,MATCH("Definitions"&amp;ADDRESS(ROW(),COLUMN(),4),L!$A:$A,0)-1,SL,,)</f>
        <v>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v>
      </c>
      <c r="D24" s="321"/>
      <c r="E24" s="100"/>
    </row>
    <row r="25" spans="1:5" ht="177.6" customHeight="1">
      <c r="A25" s="74"/>
      <c r="B25" s="63" t="str">
        <f ca="1">OFFSET(L!$C$1,MATCH("Definitions"&amp;ADDRESS(ROW(),COLUMN(),4),L!$A:$A,0)-1,SL,,)</f>
        <v>Lista delle fonderie conformi al programma CFS</v>
      </c>
      <c r="C25" s="63" t="str">
        <f ca="1">OFFSET(L!$C$1,MATCH("Definitions"&amp;ADDRESS(ROW(),COLUMN(),4),L!$A:$A,0)-1,SL,,)</f>
        <v>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Fonderia</v>
      </c>
      <c r="C27" s="63" t="str">
        <f ca="1">OFFSET(L!$C$1,MATCH("Definitions"&amp;ADDRESS(ROW(),COLUMN(),4),L!$A:$A,0)-1,SL,,)</f>
        <v>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v>
      </c>
      <c r="D27" s="321"/>
      <c r="E27" s="100" t="s">
        <v>1278</v>
      </c>
    </row>
    <row r="28" spans="1:5" ht="60">
      <c r="A28" s="74"/>
      <c r="B28" s="63" t="str">
        <f ca="1">OFFSET(L!$C$1,MATCH("Definitions"&amp;ADDRESS(ROW(),COLUMN(),4),L!$A:$A,0)-1,SL,,)</f>
        <v>Numero di identificazione della fonderia</v>
      </c>
      <c r="C28" s="63" t="str">
        <f ca="1">OFFSET(L!$C$1,MATCH("Definitions"&amp;ADDRESS(ROW(),COLUMN(),4),L!$A:$A,0)-1,SL,,)</f>
        <v>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v>
      </c>
      <c r="D28" s="321"/>
      <c r="E28" s="100" t="s">
        <v>1279</v>
      </c>
    </row>
    <row r="29" spans="1:5" ht="90">
      <c r="A29" s="74"/>
      <c r="B29" s="63" t="str">
        <f ca="1">OFFSET(L!$C$1,MATCH("Definitions"&amp;ADDRESS(ROW(),COLUMN(),4),L!$A:$A,0)-1,SL,,)</f>
        <v>Fonderia di tantalio</v>
      </c>
      <c r="C29" s="63" t="str">
        <f ca="1">OFFSET(L!$C$1,MATCH("Definitions"&amp;ADDRESS(ROW(),COLUMN(),4),L!$A:$A,0)-1,SL,,)</f>
        <v>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v>
      </c>
      <c r="D29" s="321"/>
      <c r="E29" s="100" t="s">
        <v>1280</v>
      </c>
    </row>
    <row r="30" spans="1:5" ht="135" customHeight="1">
      <c r="A30" s="74"/>
      <c r="B30" s="63" t="str">
        <f ca="1">OFFSET(L!$C$1,MATCH("Definitions"&amp;ADDRESS(ROW(),COLUMN(),4),L!$A:$A,0)-1,SL,,)</f>
        <v>Fonderia di stagno</v>
      </c>
      <c r="C30" s="63" t="str">
        <f ca="1">OFFSET(L!$C$1,MATCH("Definitions"&amp;ADDRESS(ROW(),COLUMN(),4),L!$A:$A,0)-1,SL,,)</f>
        <v>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v>
      </c>
      <c r="D30" s="321"/>
      <c r="E30" s="100" t="s">
        <v>1281</v>
      </c>
    </row>
    <row r="31" spans="1:5" ht="133.15" customHeight="1">
      <c r="A31" s="74"/>
      <c r="B31" s="63" t="str">
        <f ca="1">OFFSET(L!$C$1,MATCH("Definitions"&amp;ADDRESS(ROW(),COLUMN(),4),L!$A:$A,0)-1,SL,,)</f>
        <v>Fonderia di tungsteno</v>
      </c>
      <c r="C31" s="63" t="str">
        <f ca="1">OFFSET(L!$C$1,MATCH("Definitions"&amp;ADDRESS(ROW(),COLUMN(),4),L!$A:$A,0)-1,SL,,)</f>
        <v>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PageLayoutView="70" workbookViewId="0">
      <selection activeCell="G25" sqref="G2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14995</v>
      </c>
      <c r="E3" s="3"/>
      <c r="F3" s="370"/>
      <c r="G3" s="370"/>
      <c r="H3" s="370"/>
      <c r="I3" s="152"/>
      <c r="J3" s="138" t="s">
        <v>15733</v>
      </c>
      <c r="K3" s="36"/>
      <c r="L3" s="100"/>
      <c r="P3" s="45">
        <f>MATCH($D$3,LN,0)</f>
        <v>9</v>
      </c>
    </row>
    <row r="4" spans="1:34" ht="15.75">
      <c r="A4" s="34"/>
      <c r="B4" s="366" t="str">
        <f ca="1">OFFSET(L!$C$1,MATCH("Declaration"&amp;ADDRESS(ROW(),COLUMN(),4),L!$A:$A,0)-1,SL,,)</f>
        <v>Lo scopo del presente documento è quello di raccogliere le informazioni su stagno, tantalio, tungsteno e oro usati nei prodotti</v>
      </c>
      <c r="C4" s="366"/>
      <c r="D4" s="366"/>
      <c r="E4" s="366"/>
      <c r="F4" s="366"/>
      <c r="G4" s="366"/>
      <c r="H4" s="366"/>
      <c r="I4" s="371" t="str">
        <f ca="1">OFFSET(L!$C$1,MATCH("Declaration"&amp;ADDRESS(ROW(),COLUMN(),4),L!$A:$A,0)-1,SL,,)</f>
        <v>Link a Termini e Condizioni</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I campi obbligatori sono contrassegnati con un asterisco (*).  Consultare la scheda Istruzioni per ottenere informazioni sulle modalità di risposta a ciascuna domanda.</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I campi obbligatori sono contrassegnati con (*). Le informazioni raccolte nel presente modulo devono essere aggiornate su base annuale. Qualsiasi modifica occorsa durante l'anno in corso dovrà essere comunicata al vostro cliente</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Denominazione Sociale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Scopo della Dichiarazione (*)</v>
      </c>
      <c r="C9" s="76"/>
      <c r="D9" s="372" t="s">
        <v>483</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Descrizione dello scopo (*):</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Numero di identificazione della società</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ID Unico Aziendale rilasciato dall’autorità</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Indirizzo</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Nome persona di contatto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contatto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Telefono - Contatto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Autorizzatore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Titolo - Autorizzatore:</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Autorizzatore (*):</v>
      </c>
      <c r="C20" s="77"/>
      <c r="D20" s="378" t="s">
        <v>15823</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Telefono - Autorizzatore:</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Data di validità (*):</v>
      </c>
      <c r="C22" s="78"/>
      <c r="D22" s="384">
        <v>45849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Rispondere alle seguenti domande 1- 8 basate sul perimetro della dichiarazione sopra indicato</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Vi sono metalli di conflitto aggiunti o utilizzati intenzionalmente nel/nei prodotto/i o nel processo di produzione? (*)</v>
      </c>
      <c r="C25" s="17"/>
      <c r="D25" s="333" t="str">
        <f ca="1">OFFSET(L!$C$1,MATCH("Declaration"&amp;ADDRESS(ROW(),COLUMN(),4),L!$A:$A,0)-1,SL,,)</f>
        <v>Risposta</v>
      </c>
      <c r="E25" s="333"/>
      <c r="F25" s="18"/>
      <c r="G25" s="44" t="str">
        <f ca="1">OFFSET(L!$C$1,MATCH("Declaration"&amp;ADDRESS(ROW(),COLUMN(),4),L!$A:$A,0)-1,SL,,)</f>
        <v>Commenti</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Tantalio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Stagno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Oro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Tungsteno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Vi sono metalli di conflitto che restano nel/nei prodotto/i? (*)</v>
      </c>
      <c r="C31" s="10"/>
      <c r="D31" s="335" t="str">
        <f ca="1">D25</f>
        <v>Risposta</v>
      </c>
      <c r="E31" s="335"/>
      <c r="F31" s="18"/>
      <c r="G31" s="44" t="str">
        <f ca="1">G25</f>
        <v>Commenti</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Tantalio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Stagno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Oro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Tungsteno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Vi sono fonderie nella vostra catena di fornitura che ottengono metalli di conflitto da paesi coinvolti? (Termine SEC, vedere il foglio delle definizioni) (*)</v>
      </c>
      <c r="C37" s="10"/>
      <c r="D37" s="335" t="str">
        <f ca="1">D25</f>
        <v>Risposta</v>
      </c>
      <c r="E37" s="335"/>
      <c r="F37" s="18"/>
      <c r="G37" s="44" t="str">
        <f ca="1">G25</f>
        <v>Commenti</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Tantalio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Stagno  (*)</v>
      </c>
      <c r="C39" s="10"/>
      <c r="D39" s="326" t="s">
        <v>475</v>
      </c>
      <c r="E39" s="327"/>
      <c r="F39" s="47"/>
      <c r="G39" s="328" t="s">
        <v>15825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Oro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Tungsteno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Qualcuna delle fonderie della catena di approvvigionamento si procura il materiale di conflitto da una zona di conflitto e ad alto rischio? (*)</v>
      </c>
      <c r="C43" s="10"/>
      <c r="D43" s="335" t="str">
        <f ca="1">D25</f>
        <v>Risposta</v>
      </c>
      <c r="E43" s="335"/>
      <c r="F43" s="18"/>
      <c r="G43" s="44" t="str">
        <f ca="1">G25</f>
        <v>Commenti</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Tantalio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Stagno  (*)</v>
      </c>
      <c r="C45" s="10"/>
      <c r="D45" s="326" t="s">
        <v>475</v>
      </c>
      <c r="E45" s="327"/>
      <c r="F45" s="47"/>
      <c r="G45" s="328" t="s">
        <v>15824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Oro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Tungsteno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Il 100% dei metalli di conflitto (necessari per la funzionalità o per la produzione dei prodotti della vostra società) derivano da materiale di recupero o da scarti di fornitura? (*)</v>
      </c>
      <c r="C49" s="10"/>
      <c r="D49" s="335" t="str">
        <f ca="1">D25</f>
        <v>Risposta</v>
      </c>
      <c r="E49" s="335"/>
      <c r="F49" s="18"/>
      <c r="G49" s="44" t="str">
        <f ca="1">G25</f>
        <v>Commenti</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Tantalio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Stagno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Oro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Tungsteno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In che percentuale i fornitori interessati hanno risposto all'indagine sulla catena di fornitura? (*)</v>
      </c>
      <c r="C55" s="10"/>
      <c r="D55" s="335" t="str">
        <f ca="1">D25</f>
        <v>Risposta</v>
      </c>
      <c r="E55" s="335"/>
      <c r="F55" s="18"/>
      <c r="G55" s="44" t="str">
        <f ca="1">G25</f>
        <v>Commenti</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Tantalio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Stagno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Oro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Tungsteno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Avete individuato tutte le fonderie che forniscono metalli di conflitto alla vostra catena di fornitura? (*)</v>
      </c>
      <c r="C61" s="10"/>
      <c r="D61" s="335" t="str">
        <f ca="1">D25</f>
        <v>Risposta</v>
      </c>
      <c r="E61" s="335"/>
      <c r="F61" s="18"/>
      <c r="G61" s="44" t="str">
        <f ca="1">G25</f>
        <v>Commenti</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Tantalio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Stagno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Oro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Tungsteno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Tutte le informazioni applicabili relativamente alle fonderie ricevute dalla vostra azienda sono state incluse in questa dichiarazione? (*)</v>
      </c>
      <c r="C67" s="10"/>
      <c r="D67" s="335" t="str">
        <f ca="1">D25</f>
        <v>Risposta</v>
      </c>
      <c r="E67" s="335"/>
      <c r="F67" s="18"/>
      <c r="G67" s="44" t="str">
        <f ca="1">G25</f>
        <v>Commenti</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Tantalio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Stagno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Oro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Tungsteno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Rispondere alle seguenti domande a livello aziendale</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domanda</v>
      </c>
      <c r="C74" s="81"/>
      <c r="D74" s="333" t="str">
        <f ca="1">D25</f>
        <v>Risposta</v>
      </c>
      <c r="E74" s="333"/>
      <c r="F74" s="53"/>
      <c r="G74" s="333" t="str">
        <f ca="1">G25</f>
        <v>Commenti</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È stata adottata una politica di approvvigionamento dei minerali responsabile?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La politica di approvvigionamento dei minerali responsabile adottata è disponibile pubblicamente sul sito Web della società? (Nota: se la risposta e “Sì”, l’utente dovrà indicare l’URL nel campo commenti). (*)</v>
      </c>
      <c r="C77" s="57"/>
      <c r="D77" s="326" t="s">
        <v>475</v>
      </c>
      <c r="E77" s="327"/>
      <c r="F77" s="57"/>
      <c r="G77" s="354" t="s">
        <v>15827</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Richiedete ai vostri diretti fornitori di approvvigionarsi da fonderie che sono state certificate da parte di una società indipendente di certificazione del settore privato?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Sono state implementate misure di due diligence per l’approvvigionamento responsabile?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La società conduce indagini sui minerali di conflitto per i fornitori interessati?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F.Avete verificato le informazioni di dovuta diligenza ricevute dai vostri fornitori rispetto alle aspettative della vostra azienda?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Il vostro processo di verifica include la gestione di azioni correttive?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La società è tenuta a presentare una comunicazione annuale sui minerali di conflitto?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10:J10"/>
    <mergeCell ref="G39:J39"/>
    <mergeCell ref="G45:J45"/>
    <mergeCell ref="G79:J79"/>
    <mergeCell ref="G81:J81"/>
    <mergeCell ref="D21:J21"/>
    <mergeCell ref="D26:E26"/>
    <mergeCell ref="D27:E27"/>
    <mergeCell ref="D22:E22"/>
    <mergeCell ref="B24:J24"/>
    <mergeCell ref="D31:E31"/>
    <mergeCell ref="D50:E50"/>
    <mergeCell ref="D37:E37"/>
    <mergeCell ref="D32:E32"/>
    <mergeCell ref="D43:E43"/>
    <mergeCell ref="D44:E44"/>
    <mergeCell ref="G44:J44"/>
    <mergeCell ref="D45:E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4:J14"/>
    <mergeCell ref="D13:J13"/>
    <mergeCell ref="F3:H3"/>
    <mergeCell ref="I4:J4"/>
    <mergeCell ref="D9:G9"/>
    <mergeCell ref="B7:J7"/>
    <mergeCell ref="B10:B11"/>
    <mergeCell ref="D15:J15"/>
    <mergeCell ref="B6:J6"/>
    <mergeCell ref="D16:J16"/>
    <mergeCell ref="D20:J20"/>
    <mergeCell ref="D38:E38"/>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D18:J18"/>
    <mergeCell ref="D71:E71"/>
    <mergeCell ref="G75:J75"/>
    <mergeCell ref="D70:E70"/>
    <mergeCell ref="D75:E75"/>
    <mergeCell ref="B73:J73"/>
    <mergeCell ref="D83:E83"/>
    <mergeCell ref="G89:J89"/>
    <mergeCell ref="D79:E79"/>
    <mergeCell ref="G83:J83"/>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F1A6795F-917A-476E-A6E5-1F2638021C32}"/>
    <hyperlink ref="G77" r:id="rId4" xr:uid="{3D477FC9-80DC-4C25-9B93-1B6A5342E41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27" sqref="C2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38.25">
      <c r="A2" s="170"/>
      <c r="B2" s="187" t="str">
        <f ca="1">OFFSET(L!$C$1,MATCH("Smelter List"&amp;ADDRESS(ROW(),COLUMN(),4),L!$A:$A,0)-1,SL,,)</f>
        <v xml:space="preserve">PER INIZIARE:_x000D_
_x000D_
</v>
      </c>
      <c r="C2" s="172"/>
      <c r="D2" s="172"/>
      <c r="E2" s="172"/>
      <c r="F2" s="193"/>
      <c r="G2" s="193"/>
      <c r="H2" s="193"/>
      <c r="I2" s="194"/>
      <c r="J2" s="387" t="str">
        <f ca="1">OFFSET(L!$C$1,MATCH("Smelter List"&amp;ADDRESS(ROW(),COLUMN(),4),L!$A:$A,0)-1,SL,,)</f>
        <v>Riferimento a "RMI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Colonna di immissione numero di identificazione fonderia</v>
      </c>
      <c r="B4" s="216" t="str">
        <f ca="1">OFFSET(L!$C$1,MATCH("Smelter List"&amp;ADDRESS(ROW(),COLUMN(),4),L!$A:$A,0)-1,SL,,)</f>
        <v>Metalli (*)</v>
      </c>
      <c r="C4" s="216" t="str">
        <f ca="1">OFFSET(L!$C$1,MATCH("Smelter List"&amp;ADDRESS(ROW(),COLUMN(),4),L!$A:$A,0)-1,SL,,)</f>
        <v>Ricerca fonderia (*)</v>
      </c>
      <c r="D4" s="216" t="str">
        <f ca="1">OFFSET(L!$C$1,MATCH("Smelter List"&amp;ADDRESS(ROW(),COLUMN(),4),L!$A:$A,0)-1,SL,,)</f>
        <v>Nome della fonderia (1)</v>
      </c>
      <c r="E4" s="216" t="str">
        <f ca="1">OFFSET(L!$C$1,MATCH("Smelter List"&amp;ADDRESS(ROW(),COLUMN(),4),L!$A:$A,0)-1,SL,,)</f>
        <v>Paese Fonderia (*)</v>
      </c>
      <c r="F4" s="216" t="str">
        <f ca="1">OFFSET(L!$C$1,MATCH("Smelter List"&amp;ADDRESS(ROW(),COLUMN(),4),L!$A:$A,0)-1,SL,,)</f>
        <v>Identificazione della fonderia</v>
      </c>
      <c r="G4" s="216" t="str">
        <f ca="1">OFFSET(L!$C$1,MATCH("Smelter List"&amp;ADDRESS(ROW(),COLUMN(),4),L!$A:$A,0)-1,SL,,)</f>
        <v>Origine del codice identificativo della fonderia</v>
      </c>
      <c r="H4" s="144" t="str">
        <f ca="1">OFFSET(L!$C$1,MATCH("Smelter List"&amp;ADDRESS(ROW(),COLUMN(),4),L!$A:$A,0)-1,SL,,)</f>
        <v>Indirizzo Fonderia (*)</v>
      </c>
      <c r="I4" s="144" t="str">
        <f ca="1">OFFSET(L!$C$1,MATCH("Smelter List"&amp;ADDRESS(ROW(),COLUMN(),4),L!$A:$A,0)-1,SL,,)</f>
        <v>Città Fonderia (*)</v>
      </c>
      <c r="J4" s="144" t="str">
        <f ca="1">OFFSET(L!$C$1,MATCH("Smelter List"&amp;ADDRESS(ROW(),COLUMN(),4),L!$A:$A,0)-1,SL,,)</f>
        <v>Localizzazione della Fonderia: Stato / Provincia</v>
      </c>
      <c r="K4" s="144" t="str">
        <f ca="1">OFFSET(L!$C$1,MATCH("Smelter List"&amp;ADDRESS(ROW(),COLUMN(),4),L!$A:$A,0)-1,SL,,)</f>
        <v>Nome del riferimento della fonderia (*)</v>
      </c>
      <c r="L4" s="144" t="str">
        <f ca="1">OFFSET(L!$C$1,MATCH("Smelter List"&amp;ADDRESS(ROW(),COLUMN(),4),L!$A:$A,0)-1,SL,,)</f>
        <v>Email del riferimento della fonderia (*)</v>
      </c>
      <c r="M4" s="144" t="str">
        <f ca="1">OFFSET(L!$C$1,MATCH("Smelter List"&amp;ADDRESS(ROW(),COLUMN(),4),L!$A:$A,0)-1,SL,,)</f>
        <v>Prossimi passi proposti</v>
      </c>
      <c r="N4" s="144" t="str">
        <f ca="1">OFFSET(L!$C$1,MATCH("Smelter List"&amp;ADDRESS(ROW(),COLUMN(),4),L!$A:$A,0)-1,SL,,)</f>
        <v>Nome della miniera(e) o se riciclato o provenienti da scorie, dichiarare/scrivere riciclato o scorie</v>
      </c>
      <c r="O4" s="144" t="str">
        <f ca="1">OFFSET(L!$C$1,MATCH("Smelter List"&amp;ADDRESS(ROW(),COLUMN(),4),L!$A:$A,0)-1,SL,,)</f>
        <v>Localizzazione (Paese) della miniera (e) o se riciclato o preveniente da scorie, dichiarare/scrivere riciclato o scorie</v>
      </c>
      <c r="P4" s="144" t="str">
        <f ca="1">OFFSET(L!$C$1,MATCH("Smelter List"&amp;ADDRESS(ROW(),COLUMN(),4),L!$A:$A,0)-1,SL,,)</f>
        <v>Il 100% delle materie prime della fonderia provengono da riciclato o da scorie?</v>
      </c>
      <c r="Q4" s="145" t="str">
        <f ca="1">OFFSET(L!$C$1,MATCH("Smelter List"&amp;ADDRESS(ROW(),COLUMN(),4),L!$A:$A,0)-1,SL,,)</f>
        <v>Commenti</v>
      </c>
      <c r="R4" s="216" t="s">
        <v>12367</v>
      </c>
      <c r="S4" s="216" t="s">
        <v>12350</v>
      </c>
      <c r="T4" s="216" t="s">
        <v>12351</v>
      </c>
      <c r="U4" s="200"/>
      <c r="W4" s="159" t="s">
        <v>1290</v>
      </c>
      <c r="X4" s="159" t="s">
        <v>912</v>
      </c>
      <c r="AH4" s="145" t="s">
        <v>477</v>
      </c>
    </row>
    <row r="5" spans="1:34" s="227" customFormat="1" ht="19.899999999999999" customHeight="1">
      <c r="A5" s="262"/>
      <c r="B5" s="182" t="s">
        <v>1099</v>
      </c>
      <c r="C5" s="186" t="s">
        <v>13713</v>
      </c>
      <c r="D5" s="230"/>
      <c r="E5" s="182" t="s">
        <v>1074</v>
      </c>
      <c r="F5" s="182" t="s">
        <v>760</v>
      </c>
      <c r="G5" s="182" t="str">
        <f ca="1">IF(C5=$X$4,IF(ISERROR($V5),"Enter smelter details","RMI"),IF(ISERROR($V5),"",OFFSET('Smelter Look-up'!$F$4,$V5-4,0)))</f>
        <v>RMI</v>
      </c>
      <c r="H5" s="183">
        <f ca="1">IF(ISERROR($V5),"",OFFSET('Smelter Look-up'!$G$4,$V5-4,0))</f>
        <v>0</v>
      </c>
      <c r="I5" s="184" t="str">
        <f ca="1">IF(ISERROR($V5),"",OFFSET('Smelter Look-up'!$H$4,$V5-4,0))</f>
        <v>Mentok</v>
      </c>
      <c r="J5" s="184" t="str">
        <f ca="1">IF(ISERROR($V5),"",OFFSET('Smelter Look-up'!$I$4,$V5-4,0))</f>
        <v>Kepulauan Bangka Belitung</v>
      </c>
      <c r="K5" s="224"/>
      <c r="L5" s="224"/>
      <c r="M5" s="224"/>
      <c r="N5" s="224"/>
      <c r="O5" s="224"/>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510</v>
      </c>
      <c r="X5" s="227">
        <f t="shared" ref="X5" si="0">IF(AND(C5="Smelter not listed",OR(LEN(D5)=0,LEN(E5)=0)),1,0)</f>
        <v>0</v>
      </c>
      <c r="AB5" s="228" t="str">
        <f t="shared" ref="AB5" si="1">B5&amp;C5</f>
        <v>TinPT Timah Tbk Mentok</v>
      </c>
    </row>
    <row r="6" spans="1:34" s="227" customFormat="1" ht="19.899999999999999" customHeight="1">
      <c r="A6" s="262"/>
      <c r="B6" s="182" t="s">
        <v>1099</v>
      </c>
      <c r="C6" s="186" t="s">
        <v>13714</v>
      </c>
      <c r="D6" s="230"/>
      <c r="E6" s="182" t="s">
        <v>1074</v>
      </c>
      <c r="F6" s="182" t="s">
        <v>777</v>
      </c>
      <c r="G6" s="182" t="str">
        <f ca="1">IF(C6=$X$4,IF(ISERROR($V6),"Enter smelter details","RMI"),IF(ISERROR($V6),"",OFFSET('Smelter Look-up'!$F$4,$V6-4,0)))</f>
        <v>RMI</v>
      </c>
      <c r="H6" s="183">
        <f ca="1">IF(ISERROR($V6),"",OFFSET('Smelter Look-up'!$G$4,$V6-4,0))</f>
        <v>0</v>
      </c>
      <c r="I6" s="184" t="str">
        <f ca="1">IF(ISERROR($V6),"",OFFSET('Smelter Look-up'!$H$4,$V6-4,0))</f>
        <v>Kundur</v>
      </c>
      <c r="J6" s="184" t="str">
        <f ca="1">IF(ISERROR($V6),"",OFFSET('Smelter Look-up'!$I$4,$V6-4,0))</f>
        <v>Riau</v>
      </c>
      <c r="K6" s="224"/>
      <c r="L6" s="224"/>
      <c r="M6" s="224"/>
      <c r="N6" s="224"/>
      <c r="O6" s="224"/>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509</v>
      </c>
      <c r="X6" s="227">
        <f t="shared" ref="X6:X37" si="3">IF(AND(C6="Smelter not listed",OR(LEN(D6)=0,LEN(E6)=0)),1,0)</f>
        <v>0</v>
      </c>
      <c r="AB6" s="228" t="str">
        <f t="shared" ref="AB6:AB37" si="4">B6&amp;C6</f>
        <v>TinPT Timah Tbk Kundur</v>
      </c>
    </row>
    <row r="7" spans="1:34" s="227" customFormat="1" ht="19.899999999999999" customHeight="1">
      <c r="A7" s="262"/>
      <c r="B7" s="182" t="s">
        <v>1099</v>
      </c>
      <c r="C7" s="186" t="s">
        <v>1000</v>
      </c>
      <c r="D7" s="230"/>
      <c r="E7" s="182" t="s">
        <v>859</v>
      </c>
      <c r="F7" s="182" t="s">
        <v>763</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24"/>
      <c r="O7" s="224"/>
      <c r="P7" s="185"/>
      <c r="Q7" s="225"/>
      <c r="R7" s="182" t="str">
        <f ca="1">IF(ISERROR($V7),"",OFFSET('Smelter Look-up'!$C$4,$V7-4,0)&amp;"")</f>
        <v>Thaisarco</v>
      </c>
      <c r="S7" s="181" t="str">
        <f t="shared" ca="1" si="2"/>
        <v>TH</v>
      </c>
      <c r="T7" s="181" t="str">
        <f ca="1">IF(B7="","",IF(ISERROR(MATCH($J7,SorP!$B$1:$B$6226,0)),"",INDIRECT("'SorP'!$A$"&amp;MATCH($S7&amp;$J7,SorP!C:C,0))))</f>
        <v>TH-83</v>
      </c>
      <c r="U7" s="201"/>
      <c r="V7" s="226">
        <f>IF(C7="",NA(),IF(OR(C7="Smelter not listed",C7="Smelter not yet identified"),MATCH($B7&amp;$D7,'Smelter Look-up'!$J:$J,0),MATCH($B7&amp;$C7,'Smelter Look-up'!$J:$J,0)))</f>
        <v>521</v>
      </c>
      <c r="X7" s="227">
        <f t="shared" si="3"/>
        <v>0</v>
      </c>
      <c r="AB7" s="228" t="str">
        <f t="shared" si="4"/>
        <v>TinThaisarco</v>
      </c>
    </row>
    <row r="8" spans="1:34" s="227" customFormat="1" ht="19.899999999999999" customHeight="1">
      <c r="A8" s="262"/>
      <c r="B8" s="182" t="s">
        <v>1099</v>
      </c>
      <c r="C8" s="186" t="s">
        <v>15341</v>
      </c>
      <c r="D8" s="230"/>
      <c r="E8" s="182" t="s">
        <v>1064</v>
      </c>
      <c r="F8" s="182" t="s">
        <v>1772</v>
      </c>
      <c r="G8" s="182" t="str">
        <f ca="1">IF(C8=$X$4,IF(ISERROR($V8),"Enter smelter details","RMI"),IF(ISERROR($V8),"",OFFSET('Smelter Look-up'!$F$4,$V8-4,0)))</f>
        <v>RMI</v>
      </c>
      <c r="H8" s="183">
        <f ca="1">IF(ISERROR($V8),"",OFFSET('Smelter Look-up'!$G$4,$V8-4,0))</f>
        <v>0</v>
      </c>
      <c r="I8" s="184" t="str">
        <f ca="1">IF(ISERROR($V8),"",OFFSET('Smelter Look-up'!$H$4,$V8-4,0))</f>
        <v>Beerse</v>
      </c>
      <c r="J8" s="184" t="str">
        <f ca="1">IF(ISERROR($V8),"",OFFSET('Smelter Look-up'!$I$4,$V8-4,0))</f>
        <v>Antwerpen</v>
      </c>
      <c r="K8" s="224"/>
      <c r="L8" s="224"/>
      <c r="M8" s="224"/>
      <c r="N8" s="224"/>
      <c r="O8" s="224"/>
      <c r="P8" s="185"/>
      <c r="Q8" s="225"/>
      <c r="R8" s="182" t="str">
        <f ca="1">IF(ISERROR($V8),"",OFFSET('Smelter Look-up'!$C$4,$V8-4,0)&amp;"")</f>
        <v>Aurubis Beerse</v>
      </c>
      <c r="S8" s="181" t="str">
        <f t="shared" ca="1" si="2"/>
        <v>BE</v>
      </c>
      <c r="T8" s="181" t="str">
        <f ca="1">IF(B8="","",IF(ISERROR(MATCH($J8,SorP!$B$1:$B$6226,0)),"",INDIRECT("'SorP'!$A$"&amp;MATCH($S8&amp;$J8,SorP!C:C,0))))</f>
        <v>BE-VAN</v>
      </c>
      <c r="U8" s="201"/>
      <c r="V8" s="226">
        <f>IF(C8="",NA(),IF(OR(C8="Smelter not listed",C8="Smelter not yet identified"),MATCH($B8&amp;$D8,'Smelter Look-up'!$J:$J,0),MATCH($B8&amp;$C8,'Smelter Look-up'!$J:$J,0)))</f>
        <v>404</v>
      </c>
      <c r="X8" s="227">
        <f t="shared" si="3"/>
        <v>0</v>
      </c>
      <c r="AB8" s="228" t="str">
        <f t="shared" si="4"/>
        <v>TinAurubis Beerse</v>
      </c>
    </row>
    <row r="9" spans="1:34" s="227" customFormat="1" ht="19.899999999999999" customHeight="1">
      <c r="A9" s="262"/>
      <c r="B9" s="182" t="s">
        <v>1099</v>
      </c>
      <c r="C9" s="186" t="s">
        <v>1003</v>
      </c>
      <c r="D9" s="230"/>
      <c r="E9" s="182" t="s">
        <v>851</v>
      </c>
      <c r="F9" s="182" t="s">
        <v>754</v>
      </c>
      <c r="G9" s="182" t="str">
        <f ca="1">IF(C9=$X$4,IF(ISERROR($V9),"Enter smelter details","RMI"),IF(ISERROR($V9),"",OFFSET('Smelter Look-up'!$F$4,$V9-4,0)))</f>
        <v>RMI</v>
      </c>
      <c r="H9" s="183">
        <f ca="1">IF(ISERROR($V9),"",OFFSET('Smelter Look-up'!$G$4,$V9-4,0))</f>
        <v>0</v>
      </c>
      <c r="I9" s="184" t="str">
        <f ca="1">IF(ISERROR($V9),"",OFFSET('Smelter Look-up'!$H$4,$V9-4,0))</f>
        <v>Paracas</v>
      </c>
      <c r="J9" s="184" t="str">
        <f ca="1">IF(ISERROR($V9),"",OFFSET('Smelter Look-up'!$I$4,$V9-4,0))</f>
        <v>Ika</v>
      </c>
      <c r="K9" s="224"/>
      <c r="L9" s="224"/>
      <c r="M9" s="224"/>
      <c r="N9" s="224"/>
      <c r="O9" s="224"/>
      <c r="P9" s="185"/>
      <c r="Q9" s="225"/>
      <c r="R9" s="182" t="str">
        <f ca="1">IF(ISERROR($V9),"",OFFSET('Smelter Look-up'!$C$4,$V9-4,0)&amp;"")</f>
        <v>Minsur</v>
      </c>
      <c r="S9" s="181" t="str">
        <f t="shared" ca="1" si="2"/>
        <v>PE</v>
      </c>
      <c r="T9" s="181" t="str">
        <f ca="1">IF(B9="","",IF(ISERROR(MATCH($J9,SorP!$B$1:$B$6226,0)),"",INDIRECT("'SorP'!$A$"&amp;MATCH($S9&amp;$J9,SorP!C:C,0))))</f>
        <v>PE-ICA</v>
      </c>
      <c r="U9" s="201"/>
      <c r="V9" s="226">
        <f>IF(C9="",NA(),IF(OR(C9="Smelter not listed",C9="Smelter not yet identified"),MATCH($B9&amp;$D9,'Smelter Look-up'!$J:$J,0),MATCH($B9&amp;$C9,'Smelter Look-up'!$J:$J,0)))</f>
        <v>481</v>
      </c>
      <c r="X9" s="227">
        <f t="shared" si="3"/>
        <v>0</v>
      </c>
      <c r="AB9" s="228" t="str">
        <f t="shared" si="4"/>
        <v>TinMinsur</v>
      </c>
    </row>
    <row r="10" spans="1:34" s="227" customFormat="1" ht="19.899999999999999" customHeight="1">
      <c r="A10" s="262"/>
      <c r="B10" s="182" t="s">
        <v>1099</v>
      </c>
      <c r="C10" s="186" t="s">
        <v>13715</v>
      </c>
      <c r="D10" s="230"/>
      <c r="E10" s="182" t="s">
        <v>2382</v>
      </c>
      <c r="F10" s="182" t="s">
        <v>758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c r="R10" s="182" t="str">
        <f ca="1">IF(ISERROR($V10),"",OFFSET('Smelter Look-up'!$C$4,$V10-4,0)&amp;"")</f>
        <v>Operaciones Metalurgicas S.A.</v>
      </c>
      <c r="S10" s="181" t="str">
        <f t="shared" ca="1" si="2"/>
        <v>BO</v>
      </c>
      <c r="T10" s="181" t="str">
        <f ca="1">IF(B10="","",IF(ISERROR(MATCH($J10,SorP!$B$1:$B$6226,0)),"",INDIRECT("'SorP'!$A$"&amp;MATCH($S10&amp;$J10,SorP!C:C,0))))</f>
        <v>BO-O</v>
      </c>
      <c r="U10" s="201"/>
      <c r="V10" s="226">
        <f>IF(C10="",NA(),IF(OR(C10="Smelter not listed",C10="Smelter not yet identified"),MATCH($B10&amp;$D10,'Smelter Look-up'!$J:$J,0),MATCH($B10&amp;$C10,'Smelter Look-up'!$J:$J,0)))</f>
        <v>493</v>
      </c>
      <c r="X10" s="227">
        <f t="shared" si="3"/>
        <v>0</v>
      </c>
      <c r="AB10" s="228" t="str">
        <f t="shared" si="4"/>
        <v>TinOperaciones Metalurgicas S.A.</v>
      </c>
    </row>
    <row r="11" spans="1:34" s="227" customFormat="1" ht="19.899999999999999" customHeight="1">
      <c r="A11" s="262"/>
      <c r="B11" s="182" t="s">
        <v>1099</v>
      </c>
      <c r="C11" s="186" t="s">
        <v>13761</v>
      </c>
      <c r="D11" s="230"/>
      <c r="E11" s="182" t="s">
        <v>1074</v>
      </c>
      <c r="F11" s="182" t="s">
        <v>13775</v>
      </c>
      <c r="G11" s="182" t="str">
        <f ca="1">IF(C11=$X$4,IF(ISERROR($V11),"Enter smelter details","RMI"),IF(ISERROR($V11),"",OFFSET('Smelter Look-up'!$F$4,$V11-4,0)))</f>
        <v>RMI</v>
      </c>
      <c r="H11" s="183">
        <f ca="1">IF(ISERROR($V11),"",OFFSET('Smelter Look-up'!$G$4,$V11-4,0))</f>
        <v>0</v>
      </c>
      <c r="I11" s="184" t="str">
        <f ca="1">IF(ISERROR($V11),"",OFFSET('Smelter Look-up'!$H$4,$V11-4,0))</f>
        <v>Pangkalpinang</v>
      </c>
      <c r="J11" s="184" t="str">
        <f ca="1">IF(ISERROR($V11),"",OFFSET('Smelter Look-up'!$I$4,$V11-4,0))</f>
        <v>Kepulauan Bangka Belitung</v>
      </c>
      <c r="K11" s="224"/>
      <c r="L11" s="224"/>
      <c r="M11" s="224"/>
      <c r="N11" s="224"/>
      <c r="O11" s="224"/>
      <c r="P11" s="185"/>
      <c r="Q11" s="225"/>
      <c r="R11" s="182" t="str">
        <f ca="1">IF(ISERROR($V11),"",OFFSET('Smelter Look-up'!$C$4,$V11-4,0)&amp;"")</f>
        <v>PT Mitra Sukses Globalindo</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503</v>
      </c>
      <c r="X11" s="227">
        <f t="shared" si="3"/>
        <v>0</v>
      </c>
      <c r="AB11" s="228" t="str">
        <f t="shared" si="4"/>
        <v>TinPT Mitra Sukses Globalindo</v>
      </c>
    </row>
    <row r="12" spans="1:34" s="227" customFormat="1" ht="19.899999999999999" customHeight="1">
      <c r="A12" s="262"/>
      <c r="B12" s="182" t="s">
        <v>1099</v>
      </c>
      <c r="C12" s="186" t="s">
        <v>1367</v>
      </c>
      <c r="D12" s="230"/>
      <c r="E12" s="182" t="s">
        <v>1074</v>
      </c>
      <c r="F12" s="182" t="s">
        <v>1368</v>
      </c>
      <c r="G12" s="182" t="str">
        <f ca="1">IF(C12=$X$4,IF(ISERROR($V12),"Enter smelter details","RMI"),IF(ISERROR($V12),"",OFFSET('Smelter Look-up'!$F$4,$V12-4,0)))</f>
        <v>RMI</v>
      </c>
      <c r="H12" s="183">
        <f ca="1">IF(ISERROR($V12),"",OFFSET('Smelter Look-up'!$G$4,$V12-4,0))</f>
        <v>0</v>
      </c>
      <c r="I12" s="184" t="str">
        <f ca="1">IF(ISERROR($V12),"",OFFSET('Smelter Look-up'!$H$4,$V12-4,0))</f>
        <v>Sungailiat</v>
      </c>
      <c r="J12" s="184" t="str">
        <f ca="1">IF(ISERROR($V12),"",OFFSET('Smelter Look-up'!$I$4,$V12-4,0))</f>
        <v>Kepulauan Bangka Belitung</v>
      </c>
      <c r="K12" s="224"/>
      <c r="L12" s="224"/>
      <c r="M12" s="224"/>
      <c r="N12" s="224"/>
      <c r="O12" s="224"/>
      <c r="P12" s="185"/>
      <c r="Q12" s="225"/>
      <c r="R12" s="182" t="str">
        <f ca="1">IF(ISERROR($V12),"",OFFSET('Smelter Look-up'!$C$4,$V12-4,0)&amp;"")</f>
        <v>PT ATD Makmur Mandiri Jaya</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499</v>
      </c>
      <c r="X12" s="227">
        <f t="shared" si="3"/>
        <v>0</v>
      </c>
      <c r="AB12" s="228" t="str">
        <f t="shared" si="4"/>
        <v>TinPT ATD Makmur Mandiri Jaya</v>
      </c>
    </row>
    <row r="13" spans="1:34" s="227" customFormat="1" ht="19.899999999999999" customHeight="1">
      <c r="A13" s="262"/>
      <c r="B13" s="182" t="s">
        <v>1099</v>
      </c>
      <c r="C13" s="186" t="s">
        <v>610</v>
      </c>
      <c r="D13" s="230"/>
      <c r="E13" s="182" t="s">
        <v>1074</v>
      </c>
      <c r="F13" s="182" t="s">
        <v>759</v>
      </c>
      <c r="G13" s="182" t="str">
        <f ca="1">IF(C13=$X$4,IF(ISERROR($V13),"Enter smelter details","RMI"),IF(ISERROR($V13),"",OFFSET('Smelter Look-up'!$F$4,$V13-4,0)))</f>
        <v>RMI</v>
      </c>
      <c r="H13" s="183">
        <f ca="1">IF(ISERROR($V13),"",OFFSET('Smelter Look-up'!$G$4,$V13-4,0))</f>
        <v>0</v>
      </c>
      <c r="I13" s="184" t="str">
        <f ca="1">IF(ISERROR($V13),"",OFFSET('Smelter Look-up'!$H$4,$V13-4,0))</f>
        <v>Sungailiat</v>
      </c>
      <c r="J13" s="184" t="str">
        <f ca="1">IF(ISERROR($V13),"",OFFSET('Smelter Look-up'!$I$4,$V13-4,0))</f>
        <v>Kepulauan Bangka Belitung</v>
      </c>
      <c r="K13" s="224"/>
      <c r="L13" s="224"/>
      <c r="M13" s="224"/>
      <c r="N13" s="224"/>
      <c r="O13" s="224"/>
      <c r="P13" s="185"/>
      <c r="Q13" s="225"/>
      <c r="R13" s="182" t="str">
        <f ca="1">IF(ISERROR($V13),"",OFFSET('Smelter Look-up'!$C$4,$V13-4,0)&amp;"")</f>
        <v>PT Mitra Stania Prima</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502</v>
      </c>
      <c r="X13" s="227">
        <f t="shared" si="3"/>
        <v>0</v>
      </c>
      <c r="AB13" s="228" t="str">
        <f t="shared" si="4"/>
        <v>TinPT Mitra Stania Prima</v>
      </c>
    </row>
    <row r="14" spans="1:34" s="227" customFormat="1" ht="19.899999999999999" customHeight="1">
      <c r="A14" s="262"/>
      <c r="B14" s="182" t="s">
        <v>1099</v>
      </c>
      <c r="C14" s="186" t="s">
        <v>2484</v>
      </c>
      <c r="D14" s="230"/>
      <c r="E14" s="182" t="s">
        <v>1065</v>
      </c>
      <c r="F14" s="182" t="s">
        <v>764</v>
      </c>
      <c r="G14" s="182" t="str">
        <f ca="1">IF(C14=$X$4,IF(ISERROR($V14),"Enter smelter details","RMI"),IF(ISERROR($V14),"",OFFSET('Smelter Look-up'!$F$4,$V14-4,0)))</f>
        <v>RMI</v>
      </c>
      <c r="H14" s="183">
        <f ca="1">IF(ISERROR($V14),"",OFFSET('Smelter Look-up'!$G$4,$V14-4,0))</f>
        <v>0</v>
      </c>
      <c r="I14" s="184" t="str">
        <f ca="1">IF(ISERROR($V14),"",OFFSET('Smelter Look-up'!$H$4,$V14-4,0))</f>
        <v>Ariquemes</v>
      </c>
      <c r="J14" s="184" t="str">
        <f ca="1">IF(ISERROR($V14),"",OFFSET('Smelter Look-up'!$I$4,$V14-4,0))</f>
        <v>Rondônia</v>
      </c>
      <c r="K14" s="224"/>
      <c r="L14" s="224"/>
      <c r="M14" s="224"/>
      <c r="N14" s="224"/>
      <c r="O14" s="224"/>
      <c r="P14" s="185"/>
      <c r="Q14" s="225"/>
      <c r="R14" s="182" t="str">
        <f ca="1">IF(ISERROR($V14),"",OFFSET('Smelter Look-up'!$C$4,$V14-4,0)&amp;"")</f>
        <v>White Solder Metalurgia e Mineracao Ltda.</v>
      </c>
      <c r="S14" s="181" t="str">
        <f t="shared" ca="1" si="2"/>
        <v>BR</v>
      </c>
      <c r="T14" s="181" t="str">
        <f ca="1">IF(B14="","",IF(ISERROR(MATCH($J14,SorP!$B$1:$B$6226,0)),"",INDIRECT("'SorP'!$A$"&amp;MATCH($S14&amp;$J14,SorP!C:C,0))))</f>
        <v>BR-RO</v>
      </c>
      <c r="U14" s="201"/>
      <c r="V14" s="226">
        <f>IF(C14="",NA(),IF(OR(C14="Smelter not listed",C14="Smelter not yet identified"),MATCH($B14&amp;$D14,'Smelter Look-up'!$J:$J,0),MATCH($B14&amp;$C14,'Smelter Look-up'!$J:$J,0)))</f>
        <v>530</v>
      </c>
      <c r="X14" s="227">
        <f t="shared" si="3"/>
        <v>0</v>
      </c>
      <c r="AB14" s="228" t="str">
        <f t="shared" si="4"/>
        <v>TinWhite Solder Metalurgia e Mineracao Ltda.</v>
      </c>
    </row>
    <row r="15" spans="1:34" s="227" customFormat="1" ht="19.899999999999999" customHeight="1">
      <c r="A15" s="262"/>
      <c r="B15" s="182" t="s">
        <v>1099</v>
      </c>
      <c r="C15" s="186" t="s">
        <v>15303</v>
      </c>
      <c r="D15" s="230"/>
      <c r="E15" s="182" t="s">
        <v>1069</v>
      </c>
      <c r="F15" s="182" t="s">
        <v>766</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Tin Smelting Branch of Yunnan Tin Co., Ltd.</v>
      </c>
      <c r="S15" s="181" t="str">
        <f t="shared" ca="1" si="2"/>
        <v>CN</v>
      </c>
      <c r="T15" s="181" t="str">
        <f ca="1">IF(B15="","",IF(ISERROR(MATCH($J15,SorP!$B$1:$B$6226,0)),"",INDIRECT("'SorP'!$A$"&amp;MATCH($S15&amp;$J15,SorP!C:C,0))))</f>
        <v>CN-YN</v>
      </c>
      <c r="U15" s="201"/>
      <c r="V15" s="226">
        <f>IF(C15="",NA(),IF(OR(C15="Smelter not listed",C15="Smelter not yet identified"),MATCH($B15&amp;$D15,'Smelter Look-up'!$J:$J,0),MATCH($B15&amp;$C15,'Smelter Look-up'!$J:$J,0)))</f>
        <v>524</v>
      </c>
      <c r="X15" s="227">
        <f t="shared" si="3"/>
        <v>0</v>
      </c>
      <c r="AB15" s="228" t="str">
        <f t="shared" si="4"/>
        <v>TinTin Smelting Branch of Yunnan Tin Co., Ltd.</v>
      </c>
    </row>
    <row r="16" spans="1:34" s="227" customFormat="1" ht="19.899999999999999" customHeight="1">
      <c r="A16" s="262"/>
      <c r="B16" s="182" t="s">
        <v>1099</v>
      </c>
      <c r="C16" s="186" t="s">
        <v>15344</v>
      </c>
      <c r="D16" s="230"/>
      <c r="E16" s="182" t="s">
        <v>1074</v>
      </c>
      <c r="F16" s="182" t="s">
        <v>15345</v>
      </c>
      <c r="G16" s="182" t="str">
        <f ca="1">IF(C16=$X$4,IF(ISERROR($V16),"Enter smelter details","RMI"),IF(ISERROR($V16),"",OFFSET('Smelter Look-up'!$F$4,$V16-4,0)))</f>
        <v>RMI</v>
      </c>
      <c r="H16" s="183">
        <f ca="1">IF(ISERROR($V16),"",OFFSET('Smelter Look-up'!$G$4,$V16-4,0))</f>
        <v>0</v>
      </c>
      <c r="I16" s="184" t="str">
        <f ca="1">IF(ISERROR($V16),"",OFFSET('Smelter Look-up'!$H$4,$V16-4,0))</f>
        <v>Pangkalan Baru</v>
      </c>
      <c r="J16" s="184" t="str">
        <f ca="1">IF(ISERROR($V16),"",OFFSET('Smelter Look-up'!$I$4,$V16-4,0))</f>
        <v>Kepulauan Bangka Belitung</v>
      </c>
      <c r="K16" s="224"/>
      <c r="L16" s="224"/>
      <c r="M16" s="224"/>
      <c r="N16" s="224"/>
      <c r="O16" s="224"/>
      <c r="P16" s="185"/>
      <c r="Q16" s="225"/>
      <c r="R16" s="182" t="str">
        <f ca="1">IF(ISERROR($V16),"",OFFSET('Smelter Look-up'!$C$4,$V16-4,0)&amp;"")</f>
        <v>PT Premium Tin Indonesia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504</v>
      </c>
      <c r="X16" s="227">
        <f t="shared" si="3"/>
        <v>0</v>
      </c>
      <c r="AB16" s="228" t="str">
        <f t="shared" si="4"/>
        <v>TinPT Premium Tin Indonesia</v>
      </c>
    </row>
    <row r="17" spans="1:28" s="227" customFormat="1" ht="19.899999999999999" customHeight="1">
      <c r="A17" s="262"/>
      <c r="B17" s="182" t="s">
        <v>1099</v>
      </c>
      <c r="C17" s="186" t="s">
        <v>15309</v>
      </c>
      <c r="D17" s="230"/>
      <c r="E17" s="182" t="s">
        <v>1074</v>
      </c>
      <c r="F17" s="182" t="s">
        <v>15310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Putera Sarana Shakti (PT PSS)</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506</v>
      </c>
      <c r="X17" s="227">
        <f t="shared" si="3"/>
        <v>0</v>
      </c>
      <c r="AB17" s="228" t="str">
        <f t="shared" si="4"/>
        <v>TinPT Putera Sarana Shakti (PT PSS)</v>
      </c>
    </row>
    <row r="18" spans="1:28" s="227" customFormat="1" ht="19.899999999999999" customHeight="1">
      <c r="A18" s="181"/>
      <c r="B18" s="182" t="s">
        <v>1099</v>
      </c>
      <c r="C18" s="186" t="s">
        <v>793</v>
      </c>
      <c r="D18" s="230"/>
      <c r="E18" s="182" t="str">
        <f ca="1">IF(ISERROR($V18),"",OFFSET('Smelter Look-up'!$D$4,$V18-4,0)&amp;"")</f>
        <v>MALAYSIA</v>
      </c>
      <c r="F18" s="182" t="str">
        <f ca="1">IF(ISERROR($V18),"",OFFSET('Smelter Look-up'!$E$4,$V18-4,0))</f>
        <v>CID001105</v>
      </c>
      <c r="G18" s="182" t="str">
        <f ca="1">IF(C18=$X$4,IF(ISERROR($V18),"Enter smelter details","RMI"),IF(ISERROR($V18),"",OFFSET('Smelter Look-up'!$F$4,$V18-4,0)))</f>
        <v>RMI</v>
      </c>
      <c r="H18" s="183">
        <f ca="1">IF(ISERROR($V18),"",OFFSET('Smelter Look-up'!$G$4,$V18-4,0))</f>
        <v>0</v>
      </c>
      <c r="I18" s="184" t="str">
        <f ca="1">IF(ISERROR($V18),"",OFFSET('Smelter Look-up'!$H$4,$V18-4,0))</f>
        <v>Butterworth</v>
      </c>
      <c r="J18" s="184" t="str">
        <f ca="1">IF(ISERROR($V18),"",OFFSET('Smelter Look-up'!$I$4,$V18-4,0))</f>
        <v>Pulau Pinang</v>
      </c>
      <c r="K18" s="224"/>
      <c r="L18" s="224"/>
      <c r="M18" s="224"/>
      <c r="N18" s="224"/>
      <c r="O18" s="224"/>
      <c r="P18" s="185"/>
      <c r="Q18" s="225"/>
      <c r="R18" s="182" t="str">
        <f ca="1">IF(ISERROR($V18),"",OFFSET('Smelter Look-up'!$C$4,$V18-4,0)&amp;"")</f>
        <v>Malaysia Smelting Corporation (MSC)</v>
      </c>
      <c r="S18" s="181" t="str">
        <f t="shared" ca="1" si="2"/>
        <v>MY</v>
      </c>
      <c r="T18" s="181" t="str">
        <f ca="1">IF(B18="","",IF(ISERROR(MATCH($J18,SorP!$B$1:$B$6226,0)),"",INDIRECT("'SorP'!$A$"&amp;MATCH($S18&amp;$J18,SorP!C:C,0))))</f>
        <v>MY-07</v>
      </c>
      <c r="U18" s="201"/>
      <c r="V18" s="226">
        <f>IF(C18="",NA(),IF(OR(C18="Smelter not listed",C18="Smelter not yet identified"),MATCH($B18&amp;$D18,'Smelter Look-up'!$J:$J,0),MATCH($B18&amp;$C18,'Smelter Look-up'!$J:$J,0)))</f>
        <v>468</v>
      </c>
      <c r="X18" s="227">
        <f t="shared" ca="1" si="3"/>
        <v>0</v>
      </c>
      <c r="AB18" s="228" t="str">
        <f t="shared" si="4"/>
        <v>TinMalaysia Smelting Corporation (MSC)</v>
      </c>
    </row>
    <row r="19" spans="1:28" s="227" customFormat="1" ht="20.25">
      <c r="A19" s="181"/>
      <c r="B19" s="182" t="s">
        <v>1099</v>
      </c>
      <c r="C19" s="186" t="s">
        <v>12879</v>
      </c>
      <c r="D19" s="230"/>
      <c r="E19" s="182" t="str">
        <f ca="1">IF(ISERROR($V19),"",OFFSET('Smelter Look-up'!$D$4,$V19-4,0)&amp;"")</f>
        <v>BELGIUM</v>
      </c>
      <c r="F19" s="182" t="str">
        <f ca="1">IF(ISERROR($V19),"",OFFSET('Smelter Look-up'!$E$4,$V19-4,0))</f>
        <v>CID002773</v>
      </c>
      <c r="G19" s="182" t="str">
        <f ca="1">IF(C19=$X$4,IF(ISERROR($V19),"Enter smelter details","RMI"),IF(ISERROR($V19),"",OFFSET('Smelter Look-up'!$F$4,$V19-4,0)))</f>
        <v>RMI</v>
      </c>
      <c r="H19" s="183">
        <f ca="1">IF(ISERROR($V19),"",OFFSET('Smelter Look-up'!$G$4,$V19-4,0))</f>
        <v>0</v>
      </c>
      <c r="I19" s="184" t="str">
        <f ca="1">IF(ISERROR($V19),"",OFFSET('Smelter Look-up'!$H$4,$V19-4,0))</f>
        <v>Beerse</v>
      </c>
      <c r="J19" s="184" t="str">
        <f ca="1">IF(ISERROR($V19),"",OFFSET('Smelter Look-up'!$I$4,$V19-4,0))</f>
        <v>Antwerpen</v>
      </c>
      <c r="K19" s="224"/>
      <c r="L19" s="224"/>
      <c r="M19" s="224"/>
      <c r="N19" s="224"/>
      <c r="O19" s="224"/>
      <c r="P19" s="185"/>
      <c r="Q19" s="225"/>
      <c r="R19" s="182" t="str">
        <f ca="1">IF(ISERROR($V19),"",OFFSET('Smelter Look-up'!$C$4,$V19-4,0)&amp;"")</f>
        <v>Aurubis Beerse</v>
      </c>
      <c r="S19" s="181" t="str">
        <f t="shared" ca="1" si="2"/>
        <v>BE</v>
      </c>
      <c r="T19" s="181" t="str">
        <f ca="1">IF(B19="","",IF(ISERROR(MATCH($J19,SorP!$B$1:$B$6226,0)),"",INDIRECT("'SorP'!$A$"&amp;MATCH($S19&amp;$J19,SorP!C:C,0))))</f>
        <v>BE-VAN</v>
      </c>
      <c r="U19" s="201"/>
      <c r="V19" s="226">
        <f>IF(C19="",NA(),IF(OR(C19="Smelter not listed",C19="Smelter not yet identified"),MATCH($B19&amp;$D19,'Smelter Look-up'!$J:$J,0),MATCH($B19&amp;$C19,'Smelter Look-up'!$J:$J,0)))</f>
        <v>474</v>
      </c>
      <c r="X19" s="227">
        <f t="shared" ca="1" si="3"/>
        <v>0</v>
      </c>
      <c r="AB19" s="228" t="str">
        <f t="shared" si="4"/>
        <v>TinMetallo Belgium N.V.</v>
      </c>
    </row>
    <row r="20" spans="1:28" s="227" customFormat="1" ht="20.25">
      <c r="A20" s="181"/>
      <c r="B20" s="182" t="s">
        <v>1099</v>
      </c>
      <c r="C20" s="186" t="s">
        <v>814</v>
      </c>
      <c r="D20" s="230"/>
      <c r="E20" s="182" t="str">
        <f ca="1">IF(ISERROR($V20),"",OFFSET('Smelter Look-up'!$D$4,$V20-4,0)&amp;"")</f>
        <v>BOLIVIA (PLURINATIONAL STATE OF)</v>
      </c>
      <c r="F20" s="182" t="str">
        <f ca="1">IF(ISERROR($V20),"",OFFSET('Smelter Look-up'!$E$4,$V20-4,0))</f>
        <v>CID000438</v>
      </c>
      <c r="G20" s="182" t="str">
        <f ca="1">IF(C20=$X$4,IF(ISERROR($V20),"Enter smelter details","RMI"),IF(ISERROR($V20),"",OFFSET('Smelter Look-up'!$F$4,$V20-4,0)))</f>
        <v>RMI</v>
      </c>
      <c r="H20" s="183">
        <f ca="1">IF(ISERROR($V20),"",OFFSET('Smelter Look-up'!$G$4,$V20-4,0))</f>
        <v>0</v>
      </c>
      <c r="I20" s="184" t="str">
        <f ca="1">IF(ISERROR($V20),"",OFFSET('Smelter Look-up'!$H$4,$V20-4,0))</f>
        <v>Oruro</v>
      </c>
      <c r="J20" s="184" t="str">
        <f ca="1">IF(ISERROR($V20),"",OFFSET('Smelter Look-up'!$I$4,$V20-4,0))</f>
        <v>Oruro</v>
      </c>
      <c r="K20" s="224"/>
      <c r="L20" s="224"/>
      <c r="M20" s="224"/>
      <c r="N20" s="224"/>
      <c r="O20" s="224"/>
      <c r="P20" s="185"/>
      <c r="Q20" s="225"/>
      <c r="R20" s="182" t="str">
        <f ca="1">IF(ISERROR($V20),"",OFFSET('Smelter Look-up'!$C$4,$V20-4,0)&amp;"")</f>
        <v>EM Vinto</v>
      </c>
      <c r="S20" s="181" t="str">
        <f t="shared" ca="1" si="2"/>
        <v>BO</v>
      </c>
      <c r="T20" s="181" t="str">
        <f ca="1">IF(B20="","",IF(ISERROR(MATCH($J20,SorP!$B$1:$B$6226,0)),"",INDIRECT("'SorP'!$A$"&amp;MATCH($S20&amp;$J20,SorP!C:C,0))))</f>
        <v>BO-O</v>
      </c>
      <c r="U20" s="201"/>
      <c r="V20" s="226">
        <f>IF(C20="",NA(),IF(OR(C20="Smelter not listed",C20="Smelter not yet identified"),MATCH($B20&amp;$D20,'Smelter Look-up'!$J:$J,0),MATCH($B20&amp;$C20,'Smelter Look-up'!$J:$J,0)))</f>
        <v>428</v>
      </c>
      <c r="X20" s="227">
        <f t="shared" ca="1" si="3"/>
        <v>0</v>
      </c>
      <c r="AB20" s="228" t="str">
        <f t="shared" si="4"/>
        <v>TinEM Vinto</v>
      </c>
    </row>
    <row r="21" spans="1:28" s="227" customFormat="1" ht="20.25">
      <c r="A21" s="181"/>
      <c r="B21" s="182" t="s">
        <v>1099</v>
      </c>
      <c r="C21" s="186" t="s">
        <v>15713</v>
      </c>
      <c r="D21" s="230"/>
      <c r="E21" s="182" t="str">
        <f ca="1">IF(ISERROR($V21),"",OFFSET('Smelter Look-up'!$D$4,$V21-4,0)&amp;"")</f>
        <v>INDONESIA</v>
      </c>
      <c r="F21" s="182" t="str">
        <f ca="1">IF(ISERROR($V21),"",OFFSET('Smelter Look-up'!$E$4,$V21-4,0))</f>
        <v>CID001458</v>
      </c>
      <c r="G21" s="182" t="str">
        <f ca="1">IF(C21=$X$4,IF(ISERROR($V21),"Enter smelter details","RMI"),IF(ISERROR($V21),"",OFFSET('Smelter Look-up'!$F$4,$V21-4,0)))</f>
        <v>RMI</v>
      </c>
      <c r="H21" s="183">
        <f ca="1">IF(ISERROR($V21),"",OFFSET('Smelter Look-up'!$G$4,$V21-4,0))</f>
        <v>0</v>
      </c>
      <c r="I21" s="184" t="str">
        <f ca="1">IF(ISERROR($V21),"",OFFSET('Smelter Look-up'!$H$4,$V21-4,0))</f>
        <v>Pangkal Pinang</v>
      </c>
      <c r="J21" s="184" t="str">
        <f ca="1">IF(ISERROR($V21),"",OFFSET('Smelter Look-up'!$I$4,$V21-4,0))</f>
        <v>Kepulauan Bangka Belitung</v>
      </c>
      <c r="K21" s="224"/>
      <c r="L21" s="224"/>
      <c r="M21" s="224"/>
      <c r="N21" s="224"/>
      <c r="O21" s="224"/>
      <c r="P21" s="185"/>
      <c r="Q21" s="225"/>
      <c r="R21" s="182" t="str">
        <f ca="1">IF(ISERROR($V21),"",OFFSET('Smelter Look-up'!$C$4,$V21-4,0)&amp;"")</f>
        <v>PT Prima Timah Utama</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505</v>
      </c>
      <c r="X21" s="227">
        <f t="shared" ca="1" si="3"/>
        <v>0</v>
      </c>
      <c r="AB21" s="228" t="str">
        <f t="shared" si="4"/>
        <v>TinPT Prima Timah Utama</v>
      </c>
    </row>
    <row r="22" spans="1:28" s="227" customFormat="1" ht="20.25">
      <c r="A22" s="181"/>
      <c r="B22" s="182" t="s">
        <v>1099</v>
      </c>
      <c r="C22" s="186" t="s">
        <v>13760</v>
      </c>
      <c r="D22" s="230"/>
      <c r="E22" s="182" t="str">
        <f ca="1">IF(ISERROR($V22),"",OFFSET('Smelter Look-up'!$D$4,$V22-4,0)&amp;"")</f>
        <v>RWANDA</v>
      </c>
      <c r="F22" s="182" t="str">
        <f ca="1">IF(ISERROR($V22),"",OFFSET('Smelter Look-up'!$E$4,$V22-4,0))</f>
        <v>CID003387</v>
      </c>
      <c r="G22" s="182" t="str">
        <f ca="1">IF(C22=$X$4,IF(ISERROR($V22),"Enter smelter details","RMI"),IF(ISERROR($V22),"",OFFSET('Smelter Look-up'!$F$4,$V22-4,0)))</f>
        <v>RMI</v>
      </c>
      <c r="H22" s="183">
        <f ca="1">IF(ISERROR($V22),"",OFFSET('Smelter Look-up'!$G$4,$V22-4,0))</f>
        <v>0</v>
      </c>
      <c r="I22" s="184" t="str">
        <f ca="1">IF(ISERROR($V22),"",OFFSET('Smelter Look-up'!$H$4,$V22-4,0))</f>
        <v>Kigali</v>
      </c>
      <c r="J22" s="184" t="str">
        <f ca="1">IF(ISERROR($V22),"",OFFSET('Smelter Look-up'!$I$4,$V22-4,0))</f>
        <v>City of Kigali</v>
      </c>
      <c r="K22" s="224"/>
      <c r="L22" s="224"/>
      <c r="M22" s="224"/>
      <c r="N22" s="224"/>
      <c r="O22" s="224"/>
      <c r="P22" s="185"/>
      <c r="Q22" s="225"/>
      <c r="R22" s="182" t="str">
        <f ca="1">IF(ISERROR($V22),"",OFFSET('Smelter Look-up'!$C$4,$V22-4,0)&amp;"")</f>
        <v>Luna Smelter, Ltd.</v>
      </c>
      <c r="S22" s="181" t="str">
        <f t="shared" ca="1" si="2"/>
        <v>RW</v>
      </c>
      <c r="T22" s="181" t="str">
        <f ca="1">IF(B22="","",IF(ISERROR(MATCH($J22,SorP!$B$1:$B$6226,0)),"",INDIRECT("'SorP'!$A$"&amp;MATCH($S22&amp;$J22,SorP!C:C,0))))</f>
        <v>RW-01</v>
      </c>
      <c r="U22" s="201"/>
      <c r="V22" s="226">
        <f>IF(C22="",NA(),IF(OR(C22="Smelter not listed",C22="Smelter not yet identified"),MATCH($B22&amp;$D22,'Smelter Look-up'!$J:$J,0),MATCH($B22&amp;$C22,'Smelter Look-up'!$J:$J,0)))</f>
        <v>465</v>
      </c>
      <c r="X22" s="227">
        <f t="shared" ca="1" si="3"/>
        <v>0</v>
      </c>
      <c r="AB22" s="228" t="str">
        <f t="shared" si="4"/>
        <v>TinLuna Smelter, Ltd.</v>
      </c>
    </row>
    <row r="23" spans="1:28" s="227" customFormat="1" ht="20.25">
      <c r="A23" s="181"/>
      <c r="B23" s="182" t="s">
        <v>1099</v>
      </c>
      <c r="C23" s="186" t="s">
        <v>14960</v>
      </c>
      <c r="D23" s="230"/>
      <c r="E23" s="182" t="str">
        <f ca="1">IF(ISERROR($V23),"",OFFSET('Smelter Look-up'!$D$4,$V23-4,0)&amp;"")</f>
        <v>BRAZIL</v>
      </c>
      <c r="F23" s="182" t="str">
        <f ca="1">IF(ISERROR($V23),"",OFFSET('Smelter Look-up'!$E$4,$V23-4,0))</f>
        <v>CID003582</v>
      </c>
      <c r="G23" s="182" t="str">
        <f ca="1">IF(C23=$X$4,IF(ISERROR($V23),"Enter smelter details","RMI"),IF(ISERROR($V23),"",OFFSET('Smelter Look-up'!$F$4,$V23-4,0)))</f>
        <v>RMI</v>
      </c>
      <c r="H23" s="183">
        <f ca="1">IF(ISERROR($V23),"",OFFSET('Smelter Look-up'!$G$4,$V23-4,0))</f>
        <v>0</v>
      </c>
      <c r="I23" s="184" t="str">
        <f ca="1">IF(ISERROR($V23),"",OFFSET('Smelter Look-up'!$H$4,$V23-4,0))</f>
        <v>Mogi das Cruzes</v>
      </c>
      <c r="J23" s="184" t="str">
        <f ca="1">IF(ISERROR($V23),"",OFFSET('Smelter Look-up'!$I$4,$V23-4,0))</f>
        <v>São Paulo</v>
      </c>
      <c r="K23" s="224"/>
      <c r="L23" s="224"/>
      <c r="M23" s="224"/>
      <c r="N23" s="224"/>
      <c r="O23" s="224"/>
      <c r="P23" s="185"/>
      <c r="Q23" s="225"/>
      <c r="R23" s="182" t="str">
        <f ca="1">IF(ISERROR($V23),"",OFFSET('Smelter Look-up'!$C$4,$V23-4,0)&amp;"")</f>
        <v>Fabrica Auricchio Industria e Comercio Ltda.</v>
      </c>
      <c r="S23" s="181" t="str">
        <f t="shared" ca="1" si="2"/>
        <v>BR</v>
      </c>
      <c r="T23" s="181" t="str">
        <f ca="1">IF(B23="","",IF(ISERROR(MATCH($J23,SorP!$B$1:$B$6226,0)),"",INDIRECT("'SorP'!$A$"&amp;MATCH($S23&amp;$J23,SorP!C:C,0))))</f>
        <v>BR-SP</v>
      </c>
      <c r="U23" s="201"/>
      <c r="V23" s="226">
        <f>IF(C23="",NA(),IF(OR(C23="Smelter not listed",C23="Smelter not yet identified"),MATCH($B23&amp;$D23,'Smelter Look-up'!$J:$J,0),MATCH($B23&amp;$C23,'Smelter Look-up'!$J:$J,0)))</f>
        <v>436</v>
      </c>
      <c r="X23" s="227">
        <f t="shared" ca="1" si="3"/>
        <v>0</v>
      </c>
      <c r="AB23" s="228" t="str">
        <f t="shared" si="4"/>
        <v>TinFabrica Auricchio Industria e Comercio Ltda.</v>
      </c>
    </row>
    <row r="24" spans="1:28" s="227" customFormat="1" ht="20.25">
      <c r="A24" s="181"/>
      <c r="B24" s="182" t="s">
        <v>1099</v>
      </c>
      <c r="C24" s="186" t="s">
        <v>15346</v>
      </c>
      <c r="D24" s="230"/>
      <c r="E24" s="182" t="str">
        <f ca="1">IF(ISERROR($V24),"",OFFSET('Smelter Look-up'!$D$4,$V24-4,0)&amp;"")</f>
        <v>CONGO, DEMOCRATIC REPUBLIC OF THE</v>
      </c>
      <c r="F24" s="182" t="str">
        <f ca="1">IF(ISERROR($V24),"",OFFSET('Smelter Look-up'!$E$4,$V24-4,0))</f>
        <v>CID004065</v>
      </c>
      <c r="G24" s="182" t="str">
        <f ca="1">IF(C24=$X$4,IF(ISERROR($V24),"Enter smelter details","RMI"),IF(ISERROR($V24),"",OFFSET('Smelter Look-up'!$F$4,$V24-4,0)))</f>
        <v>RMI</v>
      </c>
      <c r="H24" s="183">
        <f ca="1">IF(ISERROR($V24),"",OFFSET('Smelter Look-up'!$G$4,$V24-4,0))</f>
        <v>0</v>
      </c>
      <c r="I24" s="184" t="str">
        <f ca="1">IF(ISERROR($V24),"",OFFSET('Smelter Look-up'!$H$4,$V24-4,0))</f>
        <v>Lubumbashi</v>
      </c>
      <c r="J24" s="184" t="str">
        <f ca="1">IF(ISERROR($V24),"",OFFSET('Smelter Look-up'!$I$4,$V24-4,0))</f>
        <v>Haut-Katanga</v>
      </c>
      <c r="K24" s="224"/>
      <c r="L24" s="224"/>
      <c r="M24" s="224"/>
      <c r="N24" s="224"/>
      <c r="O24" s="224"/>
      <c r="P24" s="185"/>
      <c r="Q24" s="225"/>
      <c r="R24" s="182" t="str">
        <f ca="1">IF(ISERROR($V24),"",OFFSET('Smelter Look-up'!$C$4,$V24-4,0)&amp;"")</f>
        <v>Mining Minerals Resources SARL</v>
      </c>
      <c r="S24" s="181" t="str">
        <f t="shared" ca="1" si="2"/>
        <v>CD</v>
      </c>
      <c r="T24" s="181" t="str">
        <f ca="1">IF(B24="","",IF(ISERROR(MATCH($J24,SorP!$B$1:$B$6226,0)),"",INDIRECT("'SorP'!$A$"&amp;MATCH($S24&amp;$J24,SorP!C:C,0))))</f>
        <v>CD-HK</v>
      </c>
      <c r="U24" s="201"/>
      <c r="V24" s="226">
        <f>IF(C24="",NA(),IF(OR(C24="Smelter not listed",C24="Smelter not yet identified"),MATCH($B24&amp;$D24,'Smelter Look-up'!$J:$J,0),MATCH($B24&amp;$C24,'Smelter Look-up'!$J:$J,0)))</f>
        <v>480</v>
      </c>
      <c r="X24" s="227">
        <f t="shared" ca="1" si="3"/>
        <v>0</v>
      </c>
      <c r="AB24" s="228" t="str">
        <f t="shared" si="4"/>
        <v>TinMining Minerals Resources SARL</v>
      </c>
    </row>
    <row r="25" spans="1:28" s="227" customFormat="1" ht="20.25">
      <c r="A25" s="181"/>
      <c r="B25" s="182" t="s">
        <v>1099</v>
      </c>
      <c r="C25" s="186" t="s">
        <v>788</v>
      </c>
      <c r="D25" s="230"/>
      <c r="E25" s="182" t="str">
        <f ca="1">IF(ISERROR($V25),"",OFFSET('Smelter Look-up'!$D$4,$V25-4,0)&amp;"")</f>
        <v>POLAND</v>
      </c>
      <c r="F25" s="182" t="str">
        <f ca="1">IF(ISERROR($V25),"",OFFSET('Smelter Look-up'!$E$4,$V25-4,0))</f>
        <v>CID000468</v>
      </c>
      <c r="G25" s="182" t="str">
        <f ca="1">IF(C25=$X$4,IF(ISERROR($V25),"Enter smelter details","RMI"),IF(ISERROR($V25),"",OFFSET('Smelter Look-up'!$F$4,$V25-4,0)))</f>
        <v>RMI</v>
      </c>
      <c r="H25" s="183">
        <f ca="1">IF(ISERROR($V25),"",OFFSET('Smelter Look-up'!$G$4,$V25-4,0))</f>
        <v>0</v>
      </c>
      <c r="I25" s="184" t="str">
        <f ca="1">IF(ISERROR($V25),"",OFFSET('Smelter Look-up'!$H$4,$V25-4,0))</f>
        <v>Chmielów</v>
      </c>
      <c r="J25" s="184" t="str">
        <f ca="1">IF(ISERROR($V25),"",OFFSET('Smelter Look-up'!$I$4,$V25-4,0))</f>
        <v>Podkarpackie</v>
      </c>
      <c r="K25" s="224"/>
      <c r="L25" s="224"/>
      <c r="M25" s="224"/>
      <c r="N25" s="224"/>
      <c r="O25" s="224"/>
      <c r="P25" s="185"/>
      <c r="Q25" s="225"/>
      <c r="R25" s="182" t="str">
        <f ca="1">IF(ISERROR($V25),"",OFFSET('Smelter Look-up'!$C$4,$V25-4,0)&amp;"")</f>
        <v>Fenix Metals</v>
      </c>
      <c r="S25" s="181" t="str">
        <f t="shared" ca="1" si="2"/>
        <v>PL</v>
      </c>
      <c r="T25" s="181" t="str">
        <f ca="1">IF(B25="","",IF(ISERROR(MATCH($J25,SorP!$B$1:$B$6226,0)),"",INDIRECT("'SorP'!$A$"&amp;MATCH($S25&amp;$J25,SorP!C:C,0))))</f>
        <v>PL-18</v>
      </c>
      <c r="U25" s="201"/>
      <c r="V25" s="226">
        <f>IF(C25="",NA(),IF(OR(C25="Smelter not listed",C25="Smelter not yet identified"),MATCH($B25&amp;$D25,'Smelter Look-up'!$J:$J,0),MATCH($B25&amp;$C25,'Smelter Look-up'!$J:$J,0)))</f>
        <v>437</v>
      </c>
      <c r="X25" s="227">
        <f t="shared" ca="1" si="3"/>
        <v>0</v>
      </c>
      <c r="AB25" s="228" t="str">
        <f t="shared" si="4"/>
        <v>TinFenix Metals</v>
      </c>
    </row>
    <row r="26" spans="1:28" s="227" customFormat="1" ht="20.25">
      <c r="A26" s="181"/>
      <c r="B26" s="182" t="s">
        <v>1099</v>
      </c>
      <c r="C26" s="186" t="s">
        <v>12377</v>
      </c>
      <c r="D26" s="230"/>
      <c r="E26" s="182" t="str">
        <f ca="1">IF(ISERROR($V26),"",OFFSET('Smelter Look-up'!$D$4,$V26-4,0)&amp;"")</f>
        <v>BRAZIL</v>
      </c>
      <c r="F26" s="182" t="str">
        <f ca="1">IF(ISERROR($V26),"",OFFSET('Smelter Look-up'!$E$4,$V26-4,0))</f>
        <v>CID001173</v>
      </c>
      <c r="G26" s="182" t="str">
        <f ca="1">IF(C26=$X$4,IF(ISERROR($V26),"Enter smelter details","RMI"),IF(ISERROR($V26),"",OFFSET('Smelter Look-up'!$F$4,$V26-4,0)))</f>
        <v>RMI</v>
      </c>
      <c r="H26" s="183">
        <f ca="1">IF(ISERROR($V26),"",OFFSET('Smelter Look-up'!$G$4,$V26-4,0))</f>
        <v>0</v>
      </c>
      <c r="I26" s="184" t="str">
        <f ca="1">IF(ISERROR($V26),"",OFFSET('Smelter Look-up'!$H$4,$V26-4,0))</f>
        <v>Pirapora de Bom Jesus</v>
      </c>
      <c r="J26" s="184" t="str">
        <f ca="1">IF(ISERROR($V26),"",OFFSET('Smelter Look-up'!$I$4,$V26-4,0))</f>
        <v>São Paulo</v>
      </c>
      <c r="K26" s="224"/>
      <c r="L26" s="224"/>
      <c r="M26" s="224"/>
      <c r="N26" s="224"/>
      <c r="O26" s="224"/>
      <c r="P26" s="185"/>
      <c r="Q26" s="225"/>
      <c r="R26" s="182" t="str">
        <f ca="1">IF(ISERROR($V26),"",OFFSET('Smelter Look-up'!$C$4,$V26-4,0)&amp;"")</f>
        <v>Mineracao Taboca S.A.</v>
      </c>
      <c r="S26" s="181" t="str">
        <f t="shared" ca="1" si="2"/>
        <v>BR</v>
      </c>
      <c r="T26" s="181" t="str">
        <f ca="1">IF(B26="","",IF(ISERROR(MATCH($J26,SorP!$B$1:$B$6226,0)),"",INDIRECT("'SorP'!$A$"&amp;MATCH($S26&amp;$J26,SorP!C:C,0))))</f>
        <v>BR-SP</v>
      </c>
      <c r="U26" s="201"/>
      <c r="V26" s="226">
        <f>IF(C26="",NA(),IF(OR(C26="Smelter not listed",C26="Smelter not yet identified"),MATCH($B26&amp;$D26,'Smelter Look-up'!$J:$J,0),MATCH($B26&amp;$C26,'Smelter Look-up'!$J:$J,0)))</f>
        <v>476</v>
      </c>
      <c r="X26" s="227">
        <f t="shared" ca="1" si="3"/>
        <v>0</v>
      </c>
      <c r="AB26" s="228" t="str">
        <f t="shared" si="4"/>
        <v>TinMineracao Taboca S.A.</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8C42C1D-3E43-4CFC-9527-017B206860AB}"/>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Al fine di assicurarsi che tutti campi siano stati compilati, prima di inviare il questionario al cliente, verificare tutti i campi evidenziati in rosso</v>
      </c>
      <c r="B1" s="392"/>
      <c r="C1" s="392"/>
      <c r="D1" s="119" t="str">
        <f ca="1">OFFSET(L!$C$1,MATCH("Checker"&amp;ADDRESS(ROW(),COLUMN(),4),L!$A:$A,0)-1,SL,,)</f>
        <v>Campi obbligatori ancora da completare</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Campi obbligatori</v>
      </c>
      <c r="B3" s="68" t="str">
        <f ca="1">OFFSET(L!$C$1,MATCH("Checker"&amp;ADDRESS(ROW(),COLUMN(),4),L!$A:$A,0)-1,SL,,)</f>
        <v>Risposta fornita</v>
      </c>
      <c r="C3" s="68" t="str">
        <f ca="1">OFFSET(L!$C$1,MATCH("Checker"&amp;ADDRESS(ROW(),COLUMN(),4),L!$A:$A,0)-1,SL,,)</f>
        <v>Note</v>
      </c>
      <c r="D3" s="68" t="str">
        <f ca="1">OFFSET(L!$C$1,MATCH("Checker"&amp;ADDRESS(ROW(),COLUMN(),4),L!$A:$A,0)-1,SL,,)</f>
        <v>Collegamento ipertestuale alla fonte</v>
      </c>
      <c r="F3" s="69" t="s">
        <v>512</v>
      </c>
      <c r="G3" s="19" t="s">
        <v>511</v>
      </c>
      <c r="H3" s="19" t="s">
        <v>513</v>
      </c>
      <c r="I3" s="19" t="s">
        <v>1283</v>
      </c>
      <c r="J3" s="19" t="s">
        <v>1284</v>
      </c>
    </row>
    <row r="4" spans="1:10" ht="39">
      <c r="A4" s="90" t="str">
        <f ca="1">Declaration!B8</f>
        <v>Denominazione Sociale (*)</v>
      </c>
      <c r="B4" s="89" t="str">
        <f>Declaration!D8</f>
        <v>ICEL S.r.l.</v>
      </c>
      <c r="C4" s="89" t="str">
        <f t="shared" ref="C4" ca="1" si="0">IF(H4=1,J4,I4)</f>
        <v>Completare</v>
      </c>
      <c r="D4" s="95" t="str">
        <f>IF(H4=1,"Click here to enter Company Name","")</f>
        <v/>
      </c>
      <c r="E4" s="20" t="s">
        <v>1273</v>
      </c>
      <c r="F4" s="93">
        <v>1</v>
      </c>
      <c r="G4" s="70">
        <f t="shared" ref="G4" si="1">IF(B4=0,1,0)</f>
        <v>0</v>
      </c>
      <c r="H4" s="71">
        <f>F4*G4</f>
        <v>0</v>
      </c>
      <c r="I4" s="147" t="str">
        <f ca="1">OFFSET(L!$C$1,MATCH("Checker"&amp;"Comp",L!$A:$A,0)-1,SL,,)</f>
        <v>Completare</v>
      </c>
      <c r="J4" s="148" t="str">
        <f ca="1">OFFSET(L!$C$1,MATCH("Checker"&amp;ADDRESS(ROW(),COLUMN(),4),L!$A:$A,0)-1,SL,,)</f>
        <v>Fornire il nome della propria società nella cella D8 della scheda della Dichiarazione</v>
      </c>
    </row>
    <row r="5" spans="1:10" ht="39">
      <c r="A5" s="90" t="str">
        <f ca="1">Declaration!B9</f>
        <v>Scopo della Dichiarazione (*)</v>
      </c>
      <c r="B5" s="89" t="str">
        <f>Declaration!D9</f>
        <v>C. User defined [Specify in 'Description of scope']</v>
      </c>
      <c r="C5" s="89" t="str">
        <f ca="1">IF(H5=1,J5,I5)</f>
        <v>Completare</v>
      </c>
      <c r="D5" s="95" t="str">
        <f>IF(H5=1,"Click here to enter Declaration Scope","")</f>
        <v/>
      </c>
      <c r="E5" s="20" t="s">
        <v>1273</v>
      </c>
      <c r="F5" s="93">
        <v>1</v>
      </c>
      <c r="G5" s="70">
        <f>IF(B5=0,1,0)</f>
        <v>0</v>
      </c>
      <c r="H5" s="71">
        <f t="shared" ref="H5" si="2">F5*G5</f>
        <v>0</v>
      </c>
      <c r="I5" s="147" t="str">
        <f ca="1">OFFSET(L!$C$1,MATCH("Checker"&amp;"Comp",L!$A:$A,0)-1,SL,,)</f>
        <v>Completare</v>
      </c>
      <c r="J5" s="148" t="str">
        <f ca="1">OFFSET(L!$C$1,MATCH("Checker"&amp;ADDRESS(ROW(),COLUMN(),4),L!$A:$A,0)-1,SL,,)</f>
        <v>Selezionare l'ambito della dichiarazione nella cella D9 della scheda della Dichiarazione</v>
      </c>
    </row>
    <row r="6" spans="1:10" ht="39">
      <c r="A6" s="90" t="str">
        <f ca="1">Declaration!B10</f>
        <v>Descrizione dello scopo (*):</v>
      </c>
      <c r="B6" s="89" t="str">
        <f>Declaration!D10</f>
        <v>All capacitors and components produced by ICEL S.r.l.</v>
      </c>
      <c r="C6" s="89" t="str">
        <f ca="1">IF(H6=1,J6,I6)</f>
        <v>Completare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Completare</v>
      </c>
      <c r="J6" s="19" t="str">
        <f ca="1">OFFSET(L!$C$1,MATCH("Checker"&amp;ADDRESS(ROW(),COLUMN(),4),L!$A:$A,0)-1,SL,,)</f>
        <v>Fornire la descrizione dell'ambito nella cella D10 della scheda della Dichiarazione</v>
      </c>
    </row>
    <row r="7" spans="1:10" ht="39">
      <c r="A7" s="90" t="str">
        <f ca="1">Declaration!B15</f>
        <v>Nome persona di contatto (*):</v>
      </c>
      <c r="B7" s="89" t="str">
        <f>Declaration!D15</f>
        <v>Walter Mariani; Andrea Favareto</v>
      </c>
      <c r="C7" s="89" t="str">
        <f ca="1">IF(H7=1,J7,I7)</f>
        <v>Completare</v>
      </c>
      <c r="D7" s="95" t="str">
        <f>IF(H7=1,"Click here to enter Contact Name","")</f>
        <v/>
      </c>
      <c r="E7" s="20" t="s">
        <v>1273</v>
      </c>
      <c r="F7" s="93">
        <v>1</v>
      </c>
      <c r="G7" s="70">
        <f>IF(B7=0,1,0)</f>
        <v>0</v>
      </c>
      <c r="H7" s="71">
        <f t="shared" si="3"/>
        <v>0</v>
      </c>
      <c r="I7" s="147" t="str">
        <f ca="1">OFFSET(L!$C$1,MATCH("Checker"&amp;"Comp",L!$A:$A,0)-1,SL,,)</f>
        <v>Completare</v>
      </c>
      <c r="J7" s="19" t="str">
        <f ca="1">OFFSET(L!$C$1,MATCH("Checker"&amp;ADDRESS(ROW(),COLUMN(),4),L!$A:$A,0)-1,SL,,)</f>
        <v>Fornire il nome di contatto nella cella D15 della scheda della Dichiarazione</v>
      </c>
    </row>
    <row r="8" spans="1:10" ht="39">
      <c r="A8" s="90" t="str">
        <f ca="1">Declaration!B16</f>
        <v>Email - contatto (*):</v>
      </c>
      <c r="B8" s="89" t="str">
        <f>Declaration!D16</f>
        <v>walter.mariani@icel.it; andrea.favareto@icel.it</v>
      </c>
      <c r="C8" s="89" t="str">
        <f ca="1">IF(H8=1,J8,I8)</f>
        <v>Completare</v>
      </c>
      <c r="D8" s="95" t="str">
        <f>IF(H8=1,"Click here to enter Email-Contact","")</f>
        <v/>
      </c>
      <c r="E8" s="20" t="s">
        <v>1273</v>
      </c>
      <c r="F8" s="93">
        <v>1</v>
      </c>
      <c r="G8" s="70">
        <f>IF(ISNUMBER(SEARCH("@",B8)),0,1)</f>
        <v>0</v>
      </c>
      <c r="H8" s="71">
        <f t="shared" si="3"/>
        <v>0</v>
      </c>
      <c r="I8" s="147" t="str">
        <f ca="1">OFFSET(L!$C$1,MATCH("Checker"&amp;"Comp",L!$A:$A,0)-1,SL,,)</f>
        <v>Completare</v>
      </c>
      <c r="J8" s="19" t="str">
        <f ca="1">OFFSET(L!$C$1,MATCH("Checker"&amp;ADDRESS(ROW(),COLUMN(),4),L!$A:$A,0)-1,SL,,)</f>
        <v>Fornire un’email di contatto valida nella cella D16 della scheda della Dichiarazione</v>
      </c>
    </row>
    <row r="9" spans="1:10" ht="39">
      <c r="A9" s="90" t="str">
        <f ca="1">Declaration!B17</f>
        <v>Telefono - Contatto (*):</v>
      </c>
      <c r="B9" s="273" t="str">
        <f>Declaration!D17</f>
        <v>00390331500510</v>
      </c>
      <c r="C9" s="89" t="str">
        <f ca="1">IF(H9=1,J9,I9)</f>
        <v>Completare</v>
      </c>
      <c r="D9" s="95" t="str">
        <f>IF(H9=1,"Click here to enter Phone-Contact","")</f>
        <v/>
      </c>
      <c r="E9" s="20" t="s">
        <v>1273</v>
      </c>
      <c r="F9" s="93">
        <v>1</v>
      </c>
      <c r="G9" s="70">
        <f>IF(B9=0,1,0)</f>
        <v>0</v>
      </c>
      <c r="H9" s="71">
        <f t="shared" si="3"/>
        <v>0</v>
      </c>
      <c r="I9" s="147" t="str">
        <f ca="1">OFFSET(L!$C$1,MATCH("Checker"&amp;"Comp",L!$A:$A,0)-1,SL,,)</f>
        <v>Completare</v>
      </c>
      <c r="J9" s="19" t="str">
        <f ca="1">OFFSET(L!$C$1,MATCH("Checker"&amp;ADDRESS(ROW(),COLUMN(),4),L!$A:$A,0)-1,SL,,)</f>
        <v>Fornire un numero di telefono di contatto nella cella D17 della scheda della Dichiarazione</v>
      </c>
    </row>
    <row r="10" spans="1:10" ht="39">
      <c r="A10" s="90" t="str">
        <f ca="1">Declaration!B18</f>
        <v>Autorizzatore (*):</v>
      </c>
      <c r="B10" s="89" t="str">
        <f>Declaration!D18</f>
        <v>Quality Engineering manager</v>
      </c>
      <c r="C10" s="89" t="str">
        <f t="shared" ref="C10" ca="1" si="4">IF(H10=1,J10,I10)</f>
        <v>Completare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Completare</v>
      </c>
      <c r="J10" s="19" t="str">
        <f ca="1">OFFSET(L!$C$1,MATCH("Checker"&amp;ADDRESS(ROW(),COLUMN(),4),L!$A:$A,0)-1,SL,,)</f>
        <v>Fornire il nome di contatto del rappresentante della società autorizzata nella cella D18 della scheda della Dichiarazione</v>
      </c>
    </row>
    <row r="11" spans="1:10" ht="39">
      <c r="A11" s="90" t="str">
        <f ca="1">Declaration!B20</f>
        <v>Email - Autorizzatore (*):</v>
      </c>
      <c r="B11" s="89" t="str">
        <f>Declaration!D20</f>
        <v>walter.mariani@icel.it</v>
      </c>
      <c r="C11" s="89" t="str">
        <f ca="1">IF(H11=1,J11,I11)</f>
        <v>Completare</v>
      </c>
      <c r="D11" s="95" t="str">
        <f>IF(H11=1,"Click here to enter Representative's email","")</f>
        <v/>
      </c>
      <c r="E11" s="20" t="s">
        <v>1273</v>
      </c>
      <c r="F11" s="93">
        <v>1</v>
      </c>
      <c r="G11" s="70">
        <f>IF(ISNUMBER(SEARCH("@",B11)),0,1)</f>
        <v>0</v>
      </c>
      <c r="H11" s="71">
        <f t="shared" si="3"/>
        <v>0</v>
      </c>
      <c r="I11" s="147" t="str">
        <f ca="1">OFFSET(L!$C$1,MATCH("Checker"&amp;"Comp",L!$A:$A,0)-1,SL,,)</f>
        <v>Completare</v>
      </c>
      <c r="J11" s="19" t="str">
        <f ca="1">OFFSET(L!$C$1,MATCH("Checker"&amp;ADDRESS(ROW(),COLUMN(),4),L!$A:$A,0)-1,SL,,)</f>
        <v>Fornire un’email valida del rappresentante della società autorizzata nella cella D20 della scheda della Dichiarazione</v>
      </c>
    </row>
    <row r="12" spans="1:10" ht="39">
      <c r="A12" s="90" t="str">
        <f ca="1">Declaration!B22</f>
        <v>Data di validità (*):</v>
      </c>
      <c r="B12" s="91">
        <f>Declaration!D22</f>
        <v>45849</v>
      </c>
      <c r="C12" s="89" t="str">
        <f ca="1">IF(H12=1,J12,I12)</f>
        <v>Completare</v>
      </c>
      <c r="D12" s="95" t="str">
        <f>IF(H12=1,"Click here to enter Date of Completion","")</f>
        <v/>
      </c>
      <c r="E12" s="20" t="s">
        <v>1273</v>
      </c>
      <c r="F12" s="93">
        <v>1</v>
      </c>
      <c r="G12" s="70">
        <f>IF(B12=0,1,0)</f>
        <v>0</v>
      </c>
      <c r="H12" s="71">
        <f t="shared" si="3"/>
        <v>0</v>
      </c>
      <c r="I12" s="147" t="str">
        <f ca="1">OFFSET(L!$C$1,MATCH("Checker"&amp;"Comp",L!$A:$A,0)-1,SL,,)</f>
        <v>Completare</v>
      </c>
      <c r="J12" s="19" t="str">
        <f ca="1">OFFSET(L!$C$1,MATCH("Checker"&amp;ADDRESS(ROW(),COLUMN(),4),L!$A:$A,0)-1,SL,,)</f>
        <v>Fornire la data in cui il modulo è stato completato nella cella D22 della scheda della Dichiarazione</v>
      </c>
    </row>
    <row r="13" spans="1:10" ht="63.75">
      <c r="A13" s="89" t="str">
        <f ca="1">Declaration!B25</f>
        <v>1) Vi sono metalli di conflitto aggiunti o utilizzati intenzionalmente nel/nei prodotto/i o nel processo di produzione? (*)</v>
      </c>
      <c r="B13" s="92"/>
      <c r="C13" s="92"/>
      <c r="D13" s="96"/>
      <c r="E13" s="20" t="s">
        <v>783</v>
      </c>
      <c r="F13" s="93"/>
      <c r="H13" s="19">
        <f t="shared" si="3"/>
        <v>0</v>
      </c>
    </row>
    <row r="14" spans="1:10" ht="38.25">
      <c r="A14" s="90" t="str">
        <f ca="1">Declaration!B26</f>
        <v xml:space="preserve">Tantalio  </v>
      </c>
      <c r="B14" s="89" t="str">
        <f>Declaration!D26</f>
        <v>No</v>
      </c>
      <c r="C14" s="89" t="str">
        <f ca="1">IF(H14=1,J14,I14)</f>
        <v>Completare</v>
      </c>
      <c r="D14" s="95" t="str">
        <f>IF(H14=1,"Click here to answer question 1 for Tantalum","")</f>
        <v/>
      </c>
      <c r="E14" s="20" t="s">
        <v>779</v>
      </c>
      <c r="F14" s="93">
        <v>1</v>
      </c>
      <c r="G14" s="70">
        <f>IF(B14=0,1,0)</f>
        <v>0</v>
      </c>
      <c r="H14" s="71">
        <f t="shared" si="3"/>
        <v>0</v>
      </c>
      <c r="I14" s="147" t="str">
        <f ca="1">OFFSET(L!$C$1,MATCH("Checker"&amp;"Comp",L!$A:$A,0)-1,SL,,)</f>
        <v>Completare</v>
      </c>
      <c r="J14" s="148" t="str">
        <f ca="1">OFFSET(L!$C$1,MATCH("Checker"&amp;ADDRESS(ROW(),COLUMN(),4),L!$A:$A,0)-1,SL,,)</f>
        <v>Dichiarare se il Tantalio è aggiunto intenzionalmente ai propri prodotti nella cella D26 della scheda della Dichiarazione</v>
      </c>
    </row>
    <row r="15" spans="1:10" ht="39">
      <c r="A15" s="90" t="str">
        <f ca="1">Declaration!B27</f>
        <v>Stagno  (*)</v>
      </c>
      <c r="B15" s="89" t="str">
        <f>Declaration!D27</f>
        <v>Yes</v>
      </c>
      <c r="C15" s="89" t="str">
        <f ca="1">IF(H15=1,J15,I15)</f>
        <v>Completare</v>
      </c>
      <c r="D15" s="95" t="str">
        <f>IF(H15=1,"Click here to answer question 1 for Tin","")</f>
        <v/>
      </c>
      <c r="E15" s="20" t="s">
        <v>780</v>
      </c>
      <c r="F15" s="93">
        <v>1</v>
      </c>
      <c r="G15" s="70">
        <f>IF(B15=0,1,0)</f>
        <v>0</v>
      </c>
      <c r="H15" s="71">
        <f t="shared" si="3"/>
        <v>0</v>
      </c>
      <c r="I15" s="147" t="str">
        <f ca="1">OFFSET(L!$C$1,MATCH("Checker"&amp;"Comp",L!$A:$A,0)-1,SL,,)</f>
        <v>Completare</v>
      </c>
      <c r="J15" s="148" t="str">
        <f ca="1">OFFSET(L!$C$1,MATCH("Checker"&amp;ADDRESS(ROW(),COLUMN(),4),L!$A:$A,0)-1,SL,,)</f>
        <v>Dichiarare se lo Stagno è aggiunto intenzionalmente ai propri prodotti nella cella D27 della scheda della Dichiarazione</v>
      </c>
    </row>
    <row r="16" spans="1:10" ht="39">
      <c r="A16" s="90" t="str">
        <f ca="1">Declaration!B28</f>
        <v xml:space="preserve">Oro  </v>
      </c>
      <c r="B16" s="89" t="str">
        <f>Declaration!D28</f>
        <v>No</v>
      </c>
      <c r="C16" s="89" t="str">
        <f ca="1">IF(H16=1,J16,I16)</f>
        <v>Completare</v>
      </c>
      <c r="D16" s="95" t="str">
        <f>IF(H16=1,"Click here to answer question 1 for Gold","")</f>
        <v/>
      </c>
      <c r="E16" s="20" t="s">
        <v>780</v>
      </c>
      <c r="F16" s="93">
        <v>1</v>
      </c>
      <c r="G16" s="70">
        <f>IF(B16=0,1,0)</f>
        <v>0</v>
      </c>
      <c r="H16" s="71">
        <f t="shared" si="3"/>
        <v>0</v>
      </c>
      <c r="I16" s="147" t="str">
        <f ca="1">OFFSET(L!$C$1,MATCH("Checker"&amp;"Comp",L!$A:$A,0)-1,SL,,)</f>
        <v>Completare</v>
      </c>
      <c r="J16" s="148" t="str">
        <f ca="1">OFFSET(L!$C$1,MATCH("Checker"&amp;ADDRESS(ROW(),COLUMN(),4),L!$A:$A,0)-1,SL,,)</f>
        <v>Dichiarare se l'Oro è aggiunto intenzionalmente ai propri prodotti nella cella D28 della scheda della Dichiarazione</v>
      </c>
    </row>
    <row r="17" spans="1:10" ht="39">
      <c r="A17" s="90" t="str">
        <f ca="1">Declaration!B29</f>
        <v xml:space="preserve">Tungsteno  </v>
      </c>
      <c r="B17" s="89" t="str">
        <f>Declaration!D29</f>
        <v>No</v>
      </c>
      <c r="C17" s="89" t="str">
        <f ca="1">IF(H17=1,J17,I17)</f>
        <v>Completare</v>
      </c>
      <c r="D17" s="95" t="str">
        <f>IF(H17=1,"Click here to answer question 1 for Tungsten","")</f>
        <v/>
      </c>
      <c r="E17" s="20" t="s">
        <v>780</v>
      </c>
      <c r="F17" s="93">
        <v>1</v>
      </c>
      <c r="G17" s="70">
        <f>IF(B17=0,1,0)</f>
        <v>0</v>
      </c>
      <c r="H17" s="71">
        <f t="shared" si="3"/>
        <v>0</v>
      </c>
      <c r="I17" s="147" t="str">
        <f ca="1">OFFSET(L!$C$1,MATCH("Checker"&amp;"Comp",L!$A:$A,0)-1,SL,,)</f>
        <v>Completare</v>
      </c>
      <c r="J17" s="148" t="str">
        <f ca="1">OFFSET(L!$C$1,MATCH("Checker"&amp;ADDRESS(ROW(),COLUMN(),4),L!$A:$A,0)-1,SL,,)</f>
        <v>Dichiarare se il Tungsteno è aggiunto intenzionalmente ai propri prodotti nella cella D29 della scheda della Dichiarazione</v>
      </c>
    </row>
    <row r="18" spans="1:10" ht="51">
      <c r="A18" s="89" t="str">
        <f ca="1">Declaration!B31</f>
        <v>2) Vi sono metalli di conflitto che restano nel/nei prodotto/i? (*)</v>
      </c>
      <c r="B18" s="92"/>
      <c r="C18" s="92"/>
      <c r="D18" s="96"/>
      <c r="E18" s="20" t="s">
        <v>781</v>
      </c>
      <c r="F18" s="93"/>
      <c r="J18" s="148"/>
    </row>
    <row r="19" spans="1:10" ht="39">
      <c r="A19" s="90" t="str">
        <f ca="1">Declaration!B32</f>
        <v xml:space="preserve">Tantalio  </v>
      </c>
      <c r="B19" s="89">
        <f>IF($B$14="Yes",Declaration!D32,0)</f>
        <v>0</v>
      </c>
      <c r="C19" s="89" t="str">
        <f ca="1">IF(H19=1,J19,I19)</f>
        <v>Completare</v>
      </c>
      <c r="D19" s="97" t="str">
        <f>IF(H19=1,"Click here to answer question 2 for Tantalum","")</f>
        <v/>
      </c>
      <c r="E19" s="20" t="s">
        <v>780</v>
      </c>
      <c r="F19" s="94">
        <f>IF(B$14="No",0,1)</f>
        <v>0</v>
      </c>
      <c r="G19" s="70">
        <f>IF(B19=0,1,0)</f>
        <v>1</v>
      </c>
      <c r="H19" s="71">
        <f>F19*G19</f>
        <v>0</v>
      </c>
      <c r="I19" s="147" t="str">
        <f ca="1">OFFSET(L!$C$1,MATCH("Checker"&amp;"Comp",L!$A:$A,0)-1,SL,,)</f>
        <v>Completare</v>
      </c>
      <c r="J19" s="148" t="str">
        <f ca="1">OFFSET(L!$C$1,MATCH("Checker"&amp;ADDRESS(ROW(),COLUMN(),4),L!$A:$A,0)-1,SL,,)</f>
        <v>Dichiarare se il Tantalio è necessario alla produzione dei propri prodotti ed è contenuto nei prodotti finiti dichiarati nella cella D32 della scheda della Dichiarazione</v>
      </c>
    </row>
    <row r="20" spans="1:10" ht="39">
      <c r="A20" s="90" t="str">
        <f ca="1">Declaration!B33</f>
        <v>Stagno  (*)</v>
      </c>
      <c r="B20" s="89" t="str">
        <f>IF($B$15="Yes",Declaration!D33,0)</f>
        <v>Yes</v>
      </c>
      <c r="C20" s="89" t="str">
        <f ca="1">IF(H20=1,J20,I20)</f>
        <v>Completare</v>
      </c>
      <c r="D20" s="97" t="str">
        <f>IF(H20=1,"Click here to answer question 2 for Tin","")</f>
        <v/>
      </c>
      <c r="E20" s="20" t="s">
        <v>780</v>
      </c>
      <c r="F20" s="94">
        <f>IF(B$15="No",0,1)</f>
        <v>1</v>
      </c>
      <c r="G20" s="70">
        <f>IF(B20=0,1,0)</f>
        <v>0</v>
      </c>
      <c r="H20" s="71">
        <f>F20*G20</f>
        <v>0</v>
      </c>
      <c r="I20" s="147" t="str">
        <f ca="1">OFFSET(L!$C$1,MATCH("Checker"&amp;"Comp",L!$A:$A,0)-1,SL,,)</f>
        <v>Completare</v>
      </c>
      <c r="J20" s="148" t="str">
        <f ca="1">OFFSET(L!$C$1,MATCH("Checker"&amp;ADDRESS(ROW(),COLUMN(),4),L!$A:$A,0)-1,SL,,)</f>
        <v>Dichiarare se lo Stagno è necessario alla produzione dei propri prodotti ed è contenuto nei prodotti finiti dichiarati nella cella D33 della scheda della Dichiarazione</v>
      </c>
    </row>
    <row r="21" spans="1:10" ht="39">
      <c r="A21" s="90" t="str">
        <f ca="1">Declaration!B34</f>
        <v xml:space="preserve">Oro  </v>
      </c>
      <c r="B21" s="89">
        <f>IF($B$16="Yes",Declaration!D34,0)</f>
        <v>0</v>
      </c>
      <c r="C21" s="89" t="str">
        <f ca="1">IF(H21=1,J21,I21)</f>
        <v>Completare</v>
      </c>
      <c r="D21" s="97" t="str">
        <f>IF(H21=1,"Click here to answer question 2 for Gold","")</f>
        <v/>
      </c>
      <c r="E21" s="20" t="s">
        <v>780</v>
      </c>
      <c r="F21" s="94">
        <f>IF(B$16="No",0,1)</f>
        <v>0</v>
      </c>
      <c r="G21" s="70">
        <f>IF(B21=0,1,0)</f>
        <v>1</v>
      </c>
      <c r="H21" s="71">
        <f>F21*G21</f>
        <v>0</v>
      </c>
      <c r="I21" s="147" t="str">
        <f ca="1">OFFSET(L!$C$1,MATCH("Checker"&amp;"Comp",L!$A:$A,0)-1,SL,,)</f>
        <v>Completare</v>
      </c>
      <c r="J21" s="148" t="str">
        <f ca="1">OFFSET(L!$C$1,MATCH("Checker"&amp;ADDRESS(ROW(),COLUMN(),4),L!$A:$A,0)-1,SL,,)</f>
        <v>Dichiarare se l'Oro è necessario alla produzione dei propri prodotti ed è contenuto nei prodotti finiti dichiarati nella cella D34 della scheda della Dichiarazione</v>
      </c>
    </row>
    <row r="22" spans="1:10" ht="39">
      <c r="A22" s="90" t="str">
        <f ca="1">Declaration!B35</f>
        <v xml:space="preserve">Tungsteno  </v>
      </c>
      <c r="B22" s="89">
        <f>IF($B$17="Yes",Declaration!D35,0)</f>
        <v>0</v>
      </c>
      <c r="C22" s="89" t="str">
        <f ca="1">IF(H22=1,J22,I22)</f>
        <v>Completare</v>
      </c>
      <c r="D22" s="97" t="str">
        <f>IF(H22=1,"Click here to answer question 2 for Tungsten","")</f>
        <v/>
      </c>
      <c r="E22" s="20" t="s">
        <v>780</v>
      </c>
      <c r="F22" s="94">
        <f>IF(B$17="No",0,1)</f>
        <v>0</v>
      </c>
      <c r="G22" s="70">
        <f>IF(B22=0,1,0)</f>
        <v>1</v>
      </c>
      <c r="H22" s="71">
        <f>F22*G22</f>
        <v>0</v>
      </c>
      <c r="I22" s="147" t="str">
        <f ca="1">OFFSET(L!$C$1,MATCH("Checker"&amp;"Comp",L!$A:$A,0)-1,SL,,)</f>
        <v>Completare</v>
      </c>
      <c r="J22" s="148" t="str">
        <f ca="1">OFFSET(L!$C$1,MATCH("Checker"&amp;ADDRESS(ROW(),COLUMN(),4),L!$A:$A,0)-1,SL,,)</f>
        <v>Dichiarare se il Tungsteno è necessario alla produzione dei propri prodotti ed è contenuto nei prodotti finiti dichiarati nella cella D35 della scheda della Dichiarazione</v>
      </c>
    </row>
    <row r="23" spans="1:10" ht="57.75" customHeight="1">
      <c r="A23" s="89" t="str">
        <f ca="1">Declaration!B37</f>
        <v>3) Vi sono fonderie nella vostra catena di fornitura che ottengono metalli di conflitto da paesi coinvolti? (Termine SEC, vedere il foglio delle definizioni) (*)</v>
      </c>
      <c r="B23" s="92"/>
      <c r="C23" s="92"/>
      <c r="D23" s="96"/>
      <c r="E23" s="20" t="s">
        <v>780</v>
      </c>
      <c r="F23" s="93"/>
      <c r="J23" s="148"/>
    </row>
    <row r="24" spans="1:10" ht="51">
      <c r="A24" s="90" t="str">
        <f ca="1">Declaration!B38</f>
        <v xml:space="preserve">Tantalio  </v>
      </c>
      <c r="B24" s="89">
        <f>IF(AND($B$14="Yes",$B$19="Yes"),Declaration!D38,0)</f>
        <v>0</v>
      </c>
      <c r="C24" s="89" t="str">
        <f ca="1">IF(H24=1,J24,I24)</f>
        <v>Completare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Completare</v>
      </c>
      <c r="J24" s="19" t="str">
        <f ca="1">OFFSET(L!$C$1,MATCH("Checker"&amp;ADDRESS(ROW(),COLUMN(),4),L!$A:$A,0)-1,SL,,)</f>
        <v>Dichiarare se il Tantalio usato nell'ambito dei prodotti dichiarati nella risposta a questo sondaggio proviene dalla Repubblica Democratica del Congo oppure da un Paese confinante nella cella D38 della scheda della Dichiarazione</v>
      </c>
    </row>
    <row r="25" spans="1:10" ht="51">
      <c r="A25" s="90" t="str">
        <f ca="1">Declaration!B39</f>
        <v>Stagno  (*)</v>
      </c>
      <c r="B25" s="89" t="str">
        <f>IF(AND($B$15="Yes",$B$20="Yes"),Declaration!D39,0)</f>
        <v>Yes</v>
      </c>
      <c r="C25" s="89" t="str">
        <f ca="1">IF(H25=1,J25,I25)</f>
        <v>Completare</v>
      </c>
      <c r="D25" s="97" t="str">
        <f>IF(H25=1,"Click here to answer question 3 for Tin","")</f>
        <v/>
      </c>
      <c r="E25" s="20" t="s">
        <v>780</v>
      </c>
      <c r="F25" s="94">
        <f>IF(OR(B15="No",B20="No"),0,1)</f>
        <v>1</v>
      </c>
      <c r="G25" s="70">
        <f>IF(B25=0,1,0)</f>
        <v>0</v>
      </c>
      <c r="H25" s="71">
        <f>F25*G25</f>
        <v>0</v>
      </c>
      <c r="I25" s="147" t="str">
        <f ca="1">OFFSET(L!$C$1,MATCH("Checker"&amp;"Comp",L!$A:$A,0)-1,SL,,)</f>
        <v>Completare</v>
      </c>
      <c r="J25" s="19" t="str">
        <f ca="1">OFFSET(L!$C$1,MATCH("Checker"&amp;ADDRESS(ROW(),COLUMN(),4),L!$A:$A,0)-1,SL,,)</f>
        <v>Dichiarare se lo Stagno usato nell'ambito dei prodotti dichiarati nella risposta a questo sondaggio proviene dalla Repubblica Democratica del Congo oppure da un Paese confinante nella cella D39 della scheda della Dichiarazione</v>
      </c>
    </row>
    <row r="26" spans="1:10" ht="51">
      <c r="A26" s="90" t="str">
        <f ca="1">Declaration!B40</f>
        <v xml:space="preserve">Oro  </v>
      </c>
      <c r="B26" s="89">
        <f>IF(AND($B$16="Yes",$B$21="Yes"),Declaration!D40,0)</f>
        <v>0</v>
      </c>
      <c r="C26" s="89" t="str">
        <f ca="1">IF(H26=1,J26,I26)</f>
        <v>Completare</v>
      </c>
      <c r="D26" s="97" t="str">
        <f>IF(H26=1,"Click here to answer question 3 for Gold","")</f>
        <v/>
      </c>
      <c r="E26" s="20" t="s">
        <v>780</v>
      </c>
      <c r="F26" s="94">
        <f>IF(OR(B16="No",B21="No"),0,1)</f>
        <v>0</v>
      </c>
      <c r="G26" s="70">
        <f>IF(B26=0,1,0)</f>
        <v>1</v>
      </c>
      <c r="H26" s="71">
        <f>F26*G26</f>
        <v>0</v>
      </c>
      <c r="I26" s="147" t="str">
        <f ca="1">OFFSET(L!$C$1,MATCH("Checker"&amp;"Comp",L!$A:$A,0)-1,SL,,)</f>
        <v>Completare</v>
      </c>
      <c r="J26" s="19" t="str">
        <f ca="1">OFFSET(L!$C$1,MATCH("Checker"&amp;ADDRESS(ROW(),COLUMN(),4),L!$A:$A,0)-1,SL,,)</f>
        <v>Dichiarare se l'Oro usato nell'ambito dei prodotti dichiarati nella risposta a questo sondaggio proviene dalla Repubblica Democratica del Congo oppure da un Paese confinante nella cella D40 della scheda della Dichiarazione</v>
      </c>
    </row>
    <row r="27" spans="1:10" ht="51">
      <c r="A27" s="90" t="str">
        <f ca="1">Declaration!B41</f>
        <v xml:space="preserve">Tungsteno  </v>
      </c>
      <c r="B27" s="89">
        <f>IF(AND($B$17="Yes",$B$22="Yes"),Declaration!D41,0)</f>
        <v>0</v>
      </c>
      <c r="C27" s="89" t="str">
        <f ca="1">IF(H27=1,J27,I27)</f>
        <v>Completare</v>
      </c>
      <c r="D27" s="97" t="str">
        <f>IF(H27=1,"Click here to answer question 3 for Tungsten","")</f>
        <v/>
      </c>
      <c r="E27" s="20" t="s">
        <v>780</v>
      </c>
      <c r="F27" s="94">
        <f>IF(OR(B17="No",B22="No"),0,1)</f>
        <v>0</v>
      </c>
      <c r="G27" s="70">
        <f>IF(B27=0,1,0)</f>
        <v>1</v>
      </c>
      <c r="H27" s="71">
        <f>F27*G27</f>
        <v>0</v>
      </c>
      <c r="I27" s="147" t="str">
        <f ca="1">OFFSET(L!$C$1,MATCH("Checker"&amp;"Comp",L!$A:$A,0)-1,SL,,)</f>
        <v>Completare</v>
      </c>
      <c r="J27" s="19" t="str">
        <f ca="1">OFFSET(L!$C$1,MATCH("Checker"&amp;ADDRESS(ROW(),COLUMN(),4),L!$A:$A,0)-1,SL,,)</f>
        <v>Dichiarare se il Tungsteno usato nell'ambito dei prodotti dichiarati nella risposta a questo sondaggio proviene dalla Repubblica Democratica del Congo oppure da un Paese confinante nella cella D41 della scheda della Dichiarazione</v>
      </c>
    </row>
    <row r="28" spans="1:10" ht="39.6" customHeight="1">
      <c r="A28" s="89" t="str">
        <f ca="1">Declaration!B43</f>
        <v>4) Qualcuna delle fonderie della catena di approvvigionamento si procura il materiale di conflitto da una zona di conflitto e ad alto rischio? (*)</v>
      </c>
      <c r="B28" s="89"/>
      <c r="C28" s="89"/>
      <c r="D28" s="97"/>
      <c r="E28" s="20"/>
      <c r="F28" s="20"/>
      <c r="G28" s="20"/>
      <c r="I28" s="147"/>
    </row>
    <row r="29" spans="1:10" ht="41.1" customHeight="1">
      <c r="A29" s="90" t="str">
        <f ca="1">Declaration!B44</f>
        <v xml:space="preserve">Tantalio  </v>
      </c>
      <c r="B29" s="89">
        <f>IF(AND($B$14="Yes",$B$19="Yes"),Declaration!D44,0)</f>
        <v>0</v>
      </c>
      <c r="C29" s="89" t="str">
        <f ca="1">IF(H29=1,J29,I29)</f>
        <v>Completare</v>
      </c>
      <c r="D29" s="260" t="str">
        <f>IF(H29=1,"Click here to answer question 4 for Tantalum","")</f>
        <v/>
      </c>
      <c r="E29" s="20"/>
      <c r="F29" s="94">
        <f>F24</f>
        <v>0</v>
      </c>
      <c r="G29" s="70">
        <f t="shared" ref="G29" si="8">IF(B29=0,1,0)</f>
        <v>1</v>
      </c>
      <c r="H29" s="71">
        <f t="shared" ref="H29" si="9">F29*G29</f>
        <v>0</v>
      </c>
      <c r="I29" s="147" t="str">
        <f ca="1">OFFSET(L!$C$1,MATCH("Checker"&amp;"Comp",L!$A:$A,0)-1,SL,,)</f>
        <v>Completare</v>
      </c>
      <c r="J29" s="19" t="str">
        <f ca="1">OFFSET(L!$C$1,MATCH("Checker"&amp;ADDRESS(ROW(),COLUMN(),4),L!$A:$A,0)-1,SL,,)</f>
        <v>Dichiarare se il tantalio utilizzato nell’ambito dei prodotti dichiarati all’interno di questa risposta del sondaggio ha origine da una zona di conflitto e ad alto rischio nella cella D44 della scheda Dichiarazione</v>
      </c>
    </row>
    <row r="30" spans="1:10" ht="41.1" customHeight="1">
      <c r="A30" s="90" t="str">
        <f ca="1">Declaration!B45</f>
        <v>Stagno  (*)</v>
      </c>
      <c r="B30" s="89" t="str">
        <f>IF(AND($B$15="Yes",$B$20="Yes"),Declaration!D45,0)</f>
        <v>Yes</v>
      </c>
      <c r="C30" s="89" t="str">
        <f ca="1">IF(H30=1,J30,I30)</f>
        <v>Completare</v>
      </c>
      <c r="D30" s="260" t="str">
        <f>IF(H30=1,"Click here to answer question 4 for Tin","")</f>
        <v/>
      </c>
      <c r="E30" s="20"/>
      <c r="F30" s="94">
        <f>F25</f>
        <v>1</v>
      </c>
      <c r="G30" s="70">
        <f>IF(B30=0,1,0)</f>
        <v>0</v>
      </c>
      <c r="H30" s="71">
        <f>F30*G30</f>
        <v>0</v>
      </c>
      <c r="I30" s="147" t="str">
        <f ca="1">OFFSET(L!$C$1,MATCH("Checker"&amp;"Comp",L!$A:$A,0)-1,SL,,)</f>
        <v>Completare</v>
      </c>
      <c r="J30" s="19" t="str">
        <f ca="1">OFFSET(L!$C$1,MATCH("Checker"&amp;ADDRESS(ROW(),COLUMN(),4),L!$A:$A,0)-1,SL,,)</f>
        <v>Dichiarare se lo stagno utilizzato nell’ambito dei prodotti dichiarati all’interno di questa risposta del sondaggio ha origine da una zona di conflitto e ad alto rischio nella cella D45 della scheda Dichiarazione</v>
      </c>
    </row>
    <row r="31" spans="1:10" ht="41.1" customHeight="1">
      <c r="A31" s="90" t="str">
        <f ca="1">Declaration!B46</f>
        <v xml:space="preserve">Oro  </v>
      </c>
      <c r="B31" s="89">
        <f>IF(AND($B$16="Yes",$B$21="Yes"),Declaration!D46,0)</f>
        <v>0</v>
      </c>
      <c r="C31" s="89" t="str">
        <f ca="1">IF(H31=1,J31,I31)</f>
        <v>Completare</v>
      </c>
      <c r="D31" s="260" t="str">
        <f>IF(H31=1,"Click here to answer question 4 for Gold","")</f>
        <v/>
      </c>
      <c r="E31" s="20"/>
      <c r="F31" s="94">
        <f>F26</f>
        <v>0</v>
      </c>
      <c r="G31" s="70">
        <f>IF(B31=0,1,0)</f>
        <v>1</v>
      </c>
      <c r="H31" s="71">
        <f>F31*G31</f>
        <v>0</v>
      </c>
      <c r="I31" s="147" t="str">
        <f ca="1">OFFSET(L!$C$1,MATCH("Checker"&amp;"Comp",L!$A:$A,0)-1,SL,,)</f>
        <v>Completare</v>
      </c>
      <c r="J31" s="19" t="str">
        <f ca="1">OFFSET(L!$C$1,MATCH("Checker"&amp;ADDRESS(ROW(),COLUMN(),4),L!$A:$A,0)-1,SL,,)</f>
        <v>Dichiarare se l’oro utilizzato nell’ambito dei prodotti dichiarati all’interno di questa risposta del sondaggio ha origine da una zona di conflitto e ad alto rischio nella cella D46 della scheda Dichiarazione</v>
      </c>
    </row>
    <row r="32" spans="1:10" ht="41.1" customHeight="1">
      <c r="A32" s="90" t="str">
        <f ca="1">Declaration!B47</f>
        <v xml:space="preserve">Tungsteno  </v>
      </c>
      <c r="B32" s="89">
        <f>IF(AND($B$17="Yes",$B$22="Yes"),Declaration!D47,0)</f>
        <v>0</v>
      </c>
      <c r="C32" s="89" t="str">
        <f ca="1">IF(H32=1,J32,I32)</f>
        <v>Completare</v>
      </c>
      <c r="D32" s="260" t="str">
        <f>IF(H32=1,"Click here to answer question 4 for Tungsten","")</f>
        <v/>
      </c>
      <c r="E32" s="20"/>
      <c r="F32" s="94">
        <f>F27</f>
        <v>0</v>
      </c>
      <c r="G32" s="70">
        <f>IF(B32=0,1,0)</f>
        <v>1</v>
      </c>
      <c r="H32" s="71">
        <f>F32*G32</f>
        <v>0</v>
      </c>
      <c r="I32" s="147" t="str">
        <f ca="1">OFFSET(L!$C$1,MATCH("Checker"&amp;"Comp",L!$A:$A,0)-1,SL,,)</f>
        <v>Completare</v>
      </c>
      <c r="J32" s="19" t="str">
        <f ca="1">OFFSET(L!$C$1,MATCH("Checker"&amp;ADDRESS(ROW(),COLUMN(),4),L!$A:$A,0)-1,SL,,)</f>
        <v>Dichiarare se il tungsteno utilizzato nell’ambito dei prodotti dichiarati all’interno di questa risposta del sondaggio ha origine da una zona di conflitto e ad alto rischio nella cella D47 della scheda Dichiarazione</v>
      </c>
    </row>
    <row r="33" spans="1:10" ht="51">
      <c r="A33" s="89" t="str">
        <f ca="1">Declaration!B49</f>
        <v>5) Il 100% dei metalli di conflitto (necessari per la funzionalità o per la produzione dei prodotti della vostra società) derivano da materiale di recupero o da scarti di fornitura? (*)</v>
      </c>
      <c r="B33" s="92"/>
      <c r="C33" s="92"/>
      <c r="D33" s="96"/>
      <c r="E33" s="20" t="s">
        <v>1273</v>
      </c>
      <c r="F33" s="93"/>
      <c r="J33" s="148"/>
    </row>
    <row r="34" spans="1:10" ht="51">
      <c r="A34" s="90" t="str">
        <f ca="1">Declaration!B50</f>
        <v xml:space="preserve">Tantalio  </v>
      </c>
      <c r="B34" s="89">
        <f>IF(AND($B$14="Yes",$B$19="Yes"),Declaration!D50,0)</f>
        <v>0</v>
      </c>
      <c r="C34" s="89" t="str">
        <f ca="1">IF(H34=1,J34,I34)</f>
        <v>Completare</v>
      </c>
      <c r="D34" s="260" t="str">
        <f>IF(H34=1,"Click here to answer question 5 for Tantalum","")</f>
        <v/>
      </c>
      <c r="E34" s="20" t="s">
        <v>1273</v>
      </c>
      <c r="F34" s="94">
        <f>F24</f>
        <v>0</v>
      </c>
      <c r="G34" s="70">
        <f>IF(B34=0,1,0)</f>
        <v>1</v>
      </c>
      <c r="H34" s="71">
        <f>F34*G34</f>
        <v>0</v>
      </c>
      <c r="I34" s="147" t="str">
        <f ca="1">OFFSET(L!$C$1,MATCH("Checker"&amp;"Comp",L!$A:$A,0)-1,SL,,)</f>
        <v>Completare</v>
      </c>
      <c r="J34" s="148" t="str">
        <f ca="1">OFFSET(L!$C$1,MATCH("Checker"&amp;ADDRESS(ROW(),COLUMN(),4),L!$A:$A,0)-1,SL,,)</f>
        <v>Dichiarare se il Tantalio usato nell'ambito dei prodotti dichiarati nella risposta a questo sondaggio proviene interamente da una fonte riciclata o di scarti nella cella D44 della scheda della Dichiarazione</v>
      </c>
    </row>
    <row r="35" spans="1:10" ht="51">
      <c r="A35" s="90" t="str">
        <f ca="1">Declaration!B51</f>
        <v>Stagno  (*)</v>
      </c>
      <c r="B35" s="89" t="str">
        <f>IF(AND($B$15="Yes",$B$20="Yes"),Declaration!D51,0)</f>
        <v>No</v>
      </c>
      <c r="C35" s="89" t="str">
        <f ca="1">IF(H35=1,J35,I35)</f>
        <v>Completare</v>
      </c>
      <c r="D35" s="260" t="str">
        <f>IF(H35=1,"Click here to answer question 5 for Tin","")</f>
        <v/>
      </c>
      <c r="E35" s="20" t="s">
        <v>1273</v>
      </c>
      <c r="F35" s="94">
        <f>F25</f>
        <v>1</v>
      </c>
      <c r="G35" s="70">
        <f>IF(B35=0,1,0)</f>
        <v>0</v>
      </c>
      <c r="H35" s="71">
        <f>F35*G35</f>
        <v>0</v>
      </c>
      <c r="I35" s="147" t="str">
        <f ca="1">OFFSET(L!$C$1,MATCH("Checker"&amp;"Comp",L!$A:$A,0)-1,SL,,)</f>
        <v>Completare</v>
      </c>
      <c r="J35" s="148" t="str">
        <f ca="1">OFFSET(L!$C$1,MATCH("Checker"&amp;ADDRESS(ROW(),COLUMN(),4),L!$A:$A,0)-1,SL,,)</f>
        <v>Dichiarare se lo Stagno usato nell'ambito dei prodotti dichiarati nella risposta a questo sondaggio proviene interamente da una fonte riciclata o di scarti nella cella D45 della scheda della Dichiarazione</v>
      </c>
    </row>
    <row r="36" spans="1:10" ht="51">
      <c r="A36" s="90" t="str">
        <f ca="1">Declaration!B52</f>
        <v xml:space="preserve">Oro  </v>
      </c>
      <c r="B36" s="89">
        <f>IF(AND($B$16="Yes",$B$21="Yes"),Declaration!D52,0)</f>
        <v>0</v>
      </c>
      <c r="C36" s="89" t="str">
        <f ca="1">IF(H36=1,J36,I36)</f>
        <v>Completare</v>
      </c>
      <c r="D36" s="260" t="str">
        <f>IF(H36=1,"Click here to answer question 5 for Gold","")</f>
        <v/>
      </c>
      <c r="E36" s="20" t="s">
        <v>1273</v>
      </c>
      <c r="F36" s="94">
        <f>F26</f>
        <v>0</v>
      </c>
      <c r="G36" s="70">
        <f>IF(B36=0,1,0)</f>
        <v>1</v>
      </c>
      <c r="H36" s="71">
        <f>F36*G36</f>
        <v>0</v>
      </c>
      <c r="I36" s="147" t="str">
        <f ca="1">OFFSET(L!$C$1,MATCH("Checker"&amp;"Comp",L!$A:$A,0)-1,SL,,)</f>
        <v>Completare</v>
      </c>
      <c r="J36" s="148" t="str">
        <f ca="1">OFFSET(L!$C$1,MATCH("Checker"&amp;ADDRESS(ROW(),COLUMN(),4),L!$A:$A,0)-1,SL,,)</f>
        <v>Dichiarare se l'Oro usato nell'ambito dei prodotti dichiarati nella risposta a questo sondaggio proviene interamente da una fonte riciclata o di scarti nella cella D46 della scheda della Dichiarazione</v>
      </c>
    </row>
    <row r="37" spans="1:10" ht="51">
      <c r="A37" s="90" t="str">
        <f ca="1">Declaration!B53</f>
        <v xml:space="preserve">Tungsteno  </v>
      </c>
      <c r="B37" s="89">
        <f>IF(AND($B$17="Yes",$B$22="Yes"),Declaration!D53,0)</f>
        <v>0</v>
      </c>
      <c r="C37" s="89" t="str">
        <f ca="1">IF(H37=1,J37,I37)</f>
        <v>Completare</v>
      </c>
      <c r="D37" s="260" t="str">
        <f>IF(H37=1,"Click here to answer question 5 for Tungsten","")</f>
        <v/>
      </c>
      <c r="E37" s="20" t="s">
        <v>1273</v>
      </c>
      <c r="F37" s="94">
        <f>F27</f>
        <v>0</v>
      </c>
      <c r="G37" s="70">
        <f>IF(B37=0,1,0)</f>
        <v>1</v>
      </c>
      <c r="H37" s="71">
        <f>F37*G37</f>
        <v>0</v>
      </c>
      <c r="I37" s="147" t="str">
        <f ca="1">OFFSET(L!$C$1,MATCH("Checker"&amp;"Comp",L!$A:$A,0)-1,SL,,)</f>
        <v>Completare</v>
      </c>
      <c r="J37" s="148" t="str">
        <f ca="1">OFFSET(L!$C$1,MATCH("Checker"&amp;ADDRESS(ROW(),COLUMN(),4),L!$A:$A,0)-1,SL,,)</f>
        <v>Dichiarare se il Tungsteno usato nell'ambito dei prodotti dichiarati nella risposta a questo sondaggio proviene interamente da una fonte riciclata o di scarti nella cella D47 della scheda della Dichiarazione</v>
      </c>
    </row>
    <row r="38" spans="1:10" ht="38.25">
      <c r="A38" s="89" t="str">
        <f ca="1">Declaration!B55</f>
        <v>6) In che percentuale i fornitori interessati hanno risposto all'indagine sulla catena di fornitura? (*)</v>
      </c>
      <c r="B38" s="92"/>
      <c r="C38" s="92"/>
      <c r="D38" s="96"/>
      <c r="E38" s="20" t="s">
        <v>780</v>
      </c>
      <c r="F38" s="93"/>
    </row>
    <row r="39" spans="1:10" ht="38.25">
      <c r="A39" s="90" t="str">
        <f ca="1">Declaration!B56</f>
        <v xml:space="preserve">Tantalio  </v>
      </c>
      <c r="B39" s="268">
        <f>IF(AND($B$14="Yes",$B$19="Yes"),Declaration!D56,0)</f>
        <v>0</v>
      </c>
      <c r="C39" s="89" t="str">
        <f ca="1">IF(H39=1,J39,I39)</f>
        <v>Completare</v>
      </c>
      <c r="D39" s="261" t="str">
        <f>IF(H39=1,"Click here to answer question 6 for Tantalum","")</f>
        <v/>
      </c>
      <c r="E39" s="20" t="s">
        <v>779</v>
      </c>
      <c r="F39" s="94">
        <f>F24</f>
        <v>0</v>
      </c>
      <c r="G39" s="70">
        <f>IF(B39=0,1,0)</f>
        <v>1</v>
      </c>
      <c r="H39" s="71">
        <f>F39*G39</f>
        <v>0</v>
      </c>
      <c r="I39" s="147" t="str">
        <f ca="1">OFFSET(L!$C$1,MATCH("Checker"&amp;"Comp",L!$A:$A,0)-1,SL,,)</f>
        <v>Completare</v>
      </c>
      <c r="J39" s="19" t="str">
        <f ca="1">OFFSET(L!$C$1,MATCH("Checker"&amp;ADDRESS(ROW(),COLUMN(),4),L!$A:$A,0)-1,SL,,)</f>
        <v>Fornire la percentuale (%) di completezza delle informazioni della fonderia del fornitore nella cella D50 della scheda della Dichiarazione</v>
      </c>
    </row>
    <row r="40" spans="1:10" ht="38.25">
      <c r="A40" s="90" t="str">
        <f ca="1">Declaration!B57</f>
        <v>Stagno  (*)</v>
      </c>
      <c r="B40" s="268" t="str">
        <f>IF(AND($B$15="Yes",$B$20="Yes"),Declaration!D57,0)</f>
        <v>100%</v>
      </c>
      <c r="C40" s="89" t="str">
        <f ca="1">IF(H40=1,J40,I40)</f>
        <v>Completare</v>
      </c>
      <c r="D40" s="261" t="str">
        <f>IF(H40=1,"Click here to answer question 6 for Tin","")</f>
        <v/>
      </c>
      <c r="E40" s="20" t="s">
        <v>779</v>
      </c>
      <c r="F40" s="94">
        <f>F25</f>
        <v>1</v>
      </c>
      <c r="G40" s="70">
        <f>IF(B40=0,1,0)</f>
        <v>0</v>
      </c>
      <c r="H40" s="71">
        <f>F40*G40</f>
        <v>0</v>
      </c>
      <c r="I40" s="147" t="str">
        <f ca="1">OFFSET(L!$C$1,MATCH("Checker"&amp;"Comp",L!$A:$A,0)-1,SL,,)</f>
        <v>Completare</v>
      </c>
      <c r="J40" s="19" t="str">
        <f ca="1">OFFSET(L!$C$1,MATCH("Checker"&amp;ADDRESS(ROW(),COLUMN(),4),L!$A:$A,0)-1,SL,,)</f>
        <v>Fornire la percentuale (%) di completezza delle informazioni della fonderia del fornitore nella cella D51 della scheda della Dichiarazione</v>
      </c>
    </row>
    <row r="41" spans="1:10" ht="38.25">
      <c r="A41" s="90" t="str">
        <f ca="1">Declaration!B58</f>
        <v xml:space="preserve">Oro  </v>
      </c>
      <c r="B41" s="268">
        <f>IF(AND($B$16="Yes",$B$21="Yes"),Declaration!D58,0)</f>
        <v>0</v>
      </c>
      <c r="C41" s="89" t="str">
        <f ca="1">IF(H41=1,J41,I41)</f>
        <v>Completare</v>
      </c>
      <c r="D41" s="261" t="str">
        <f>IF(H41=1,"Click here to answer question 6 for Gold","")</f>
        <v/>
      </c>
      <c r="E41" s="20" t="s">
        <v>779</v>
      </c>
      <c r="F41" s="94">
        <f>F26</f>
        <v>0</v>
      </c>
      <c r="G41" s="70">
        <f>IF(B41=0,1,0)</f>
        <v>1</v>
      </c>
      <c r="H41" s="71">
        <f>F41*G41</f>
        <v>0</v>
      </c>
      <c r="I41" s="147" t="str">
        <f ca="1">OFFSET(L!$C$1,MATCH("Checker"&amp;"Comp",L!$A:$A,0)-1,SL,,)</f>
        <v>Completare</v>
      </c>
      <c r="J41" s="19" t="str">
        <f ca="1">OFFSET(L!$C$1,MATCH("Checker"&amp;ADDRESS(ROW(),COLUMN(),4),L!$A:$A,0)-1,SL,,)</f>
        <v>Fornire la percentuale (%) di completezza delle informazioni della fonderia del fornitore nella cella D52 della scheda della Dichiarazione</v>
      </c>
    </row>
    <row r="42" spans="1:10" ht="38.25">
      <c r="A42" s="90" t="str">
        <f ca="1">Declaration!B59</f>
        <v xml:space="preserve">Tungsteno  </v>
      </c>
      <c r="B42" s="268">
        <f>IF(AND($B$17="Yes",$B$22="Yes"),Declaration!D59,0)</f>
        <v>0</v>
      </c>
      <c r="C42" s="89" t="str">
        <f ca="1">IF(H42=1,J42,I42)</f>
        <v>Completare</v>
      </c>
      <c r="D42" s="261" t="str">
        <f>IF(H42=1,"Click here to answer question 6 for Tungsten","")</f>
        <v/>
      </c>
      <c r="E42" s="20" t="s">
        <v>779</v>
      </c>
      <c r="F42" s="94">
        <f>F27</f>
        <v>0</v>
      </c>
      <c r="G42" s="70">
        <f>IF(B42=0,1,0)</f>
        <v>1</v>
      </c>
      <c r="H42" s="71">
        <f>F42*G42</f>
        <v>0</v>
      </c>
      <c r="I42" s="147" t="str">
        <f ca="1">OFFSET(L!$C$1,MATCH("Checker"&amp;"Comp",L!$A:$A,0)-1,SL,,)</f>
        <v>Completare</v>
      </c>
      <c r="J42" s="19" t="str">
        <f ca="1">OFFSET(L!$C$1,MATCH("Checker"&amp;ADDRESS(ROW(),COLUMN(),4),L!$A:$A,0)-1,SL,,)</f>
        <v>Fornire la percentuale (%) di completezza delle informazioni della fonderia del fornitore nella cella D53 della scheda della Dichiarazione</v>
      </c>
    </row>
    <row r="43" spans="1:10" ht="51">
      <c r="A43" s="89" t="str">
        <f ca="1">Declaration!B61</f>
        <v>7) Avete individuato tutte le fonderie che forniscono metalli di conflitto alla vostra catena di fornitura? (*)</v>
      </c>
      <c r="B43" s="92"/>
      <c r="C43" s="92"/>
      <c r="D43" s="96"/>
      <c r="E43" s="20" t="s">
        <v>781</v>
      </c>
      <c r="F43" s="93"/>
    </row>
    <row r="44" spans="1:10" ht="51.75">
      <c r="A44" s="90" t="str">
        <f ca="1">Declaration!B62</f>
        <v xml:space="preserve">Tantalio  </v>
      </c>
      <c r="B44" s="89">
        <f>IF(AND($B$14="Yes",$B$19="Yes"),Declaration!D62,0)</f>
        <v>0</v>
      </c>
      <c r="C44" s="89" t="str">
        <f ca="1">IF(H44=1,J44,I44)</f>
        <v>Completare</v>
      </c>
      <c r="D44" s="260" t="str">
        <f>IF(H44=1,"Click here to answer question 7 for Tantalum","")</f>
        <v/>
      </c>
      <c r="E44" s="20" t="s">
        <v>1269</v>
      </c>
      <c r="F44" s="94">
        <f>F24</f>
        <v>0</v>
      </c>
      <c r="G44" s="70">
        <f>IF(B44=0,1,0)</f>
        <v>1</v>
      </c>
      <c r="H44" s="71">
        <f>F44*G44</f>
        <v>0</v>
      </c>
      <c r="I44" s="147" t="str">
        <f ca="1">OFFSET(L!$C$1,MATCH("Checker"&amp;"Comp",L!$A:$A,0)-1,SL,,)</f>
        <v>Completare</v>
      </c>
      <c r="J44" s="19" t="str">
        <f ca="1">OFFSET(L!$C$1,MATCH("Checker"&amp;ADDRESS(ROW(),COLUMN(),4),L!$A:$A,0)-1,SL,,)</f>
        <v>Dichiarare se tutti i nomi delle fonderie sono stati forniti nella risposta a questo sondaggio nell'ambito dei prodotti dichiarati nella cella D56 della scheda della Dichiarazione</v>
      </c>
    </row>
    <row r="45" spans="1:10" ht="51.75">
      <c r="A45" s="90" t="str">
        <f ca="1">Declaration!B63</f>
        <v>Stagno  (*)</v>
      </c>
      <c r="B45" s="89" t="str">
        <f>IF(AND($B$15="Yes",$B$20="Yes"),Declaration!D63,0)</f>
        <v>Yes</v>
      </c>
      <c r="C45" s="89" t="str">
        <f ca="1">IF(H45=1,J45,I45)</f>
        <v>Completare</v>
      </c>
      <c r="D45" s="260" t="str">
        <f>IF(H45=1,"Click here to answer question 7 for Tin","")</f>
        <v/>
      </c>
      <c r="E45" s="20" t="s">
        <v>1269</v>
      </c>
      <c r="F45" s="94">
        <f>F25</f>
        <v>1</v>
      </c>
      <c r="G45" s="70">
        <f>IF(B45=0,1,0)</f>
        <v>0</v>
      </c>
      <c r="H45" s="71">
        <f>F45*G45</f>
        <v>0</v>
      </c>
      <c r="I45" s="147" t="str">
        <f ca="1">OFFSET(L!$C$1,MATCH("Checker"&amp;"Comp",L!$A:$A,0)-1,SL,,)</f>
        <v>Completare</v>
      </c>
      <c r="J45" s="19" t="str">
        <f ca="1">OFFSET(L!$C$1,MATCH("Checker"&amp;ADDRESS(ROW(),COLUMN(),4),L!$A:$A,0)-1,SL,,)</f>
        <v>Dichiarare se tutti i nomi delle fonderie sono stati forniti nella risposta a questo sondaggio nell'ambito dei prodotti dichiarati nella cella D57 della scheda della Dichiarazione</v>
      </c>
    </row>
    <row r="46" spans="1:10" ht="51.75">
      <c r="A46" s="90" t="str">
        <f ca="1">Declaration!B64</f>
        <v xml:space="preserve">Oro  </v>
      </c>
      <c r="B46" s="89">
        <f>IF(AND($B$16="Yes",$B$21="Yes"),Declaration!D64,0)</f>
        <v>0</v>
      </c>
      <c r="C46" s="89" t="str">
        <f ca="1">IF(H46=1,J46,I46)</f>
        <v>Completare</v>
      </c>
      <c r="D46" s="260" t="str">
        <f>IF(H46=1,"Click here to answer question 7 for Gold","")</f>
        <v/>
      </c>
      <c r="E46" s="20" t="s">
        <v>1269</v>
      </c>
      <c r="F46" s="94">
        <f>F26</f>
        <v>0</v>
      </c>
      <c r="G46" s="70">
        <f>IF(B46=0,1,0)</f>
        <v>1</v>
      </c>
      <c r="H46" s="71">
        <f>F46*G46</f>
        <v>0</v>
      </c>
      <c r="I46" s="147" t="str">
        <f ca="1">OFFSET(L!$C$1,MATCH("Checker"&amp;"Comp",L!$A:$A,0)-1,SL,,)</f>
        <v>Completare</v>
      </c>
      <c r="J46" s="19" t="str">
        <f ca="1">OFFSET(L!$C$1,MATCH("Checker"&amp;ADDRESS(ROW(),COLUMN(),4),L!$A:$A,0)-1,SL,,)</f>
        <v>Dichiarare se tutti i nomi delle fonderie sono stati forniti nella risposta a questo sondaggio nell'ambito dei prodotti dichiarati nella cella D58 della scheda della Dichiarazione</v>
      </c>
    </row>
    <row r="47" spans="1:10" ht="51.75">
      <c r="A47" s="90" t="str">
        <f ca="1">Declaration!B65</f>
        <v xml:space="preserve">Tungsteno  </v>
      </c>
      <c r="B47" s="89">
        <f>IF(AND($B$17="Yes",$B$22="Yes"),Declaration!D65,0)</f>
        <v>0</v>
      </c>
      <c r="C47" s="89" t="str">
        <f ca="1">IF(H47=1,J47,I47)</f>
        <v>Completare</v>
      </c>
      <c r="D47" s="260" t="str">
        <f>IF(H47=1,"Click here to answer question 7 for Tungsten","")</f>
        <v/>
      </c>
      <c r="E47" s="20" t="s">
        <v>1269</v>
      </c>
      <c r="F47" s="94">
        <f>F27</f>
        <v>0</v>
      </c>
      <c r="G47" s="70">
        <f>IF(B47=0,1,0)</f>
        <v>1</v>
      </c>
      <c r="H47" s="71">
        <f>F47*G47</f>
        <v>0</v>
      </c>
      <c r="I47" s="147" t="str">
        <f ca="1">OFFSET(L!$C$1,MATCH("Checker"&amp;"Comp",L!$A:$A,0)-1,SL,,)</f>
        <v>Completare</v>
      </c>
      <c r="J47" s="19" t="str">
        <f ca="1">OFFSET(L!$C$1,MATCH("Checker"&amp;ADDRESS(ROW(),COLUMN(),4),L!$A:$A,0)-1,SL,,)</f>
        <v>Dichiarare se tutti i nomi delle fonderie sono stati forniti nella risposta a questo sondaggio nell'ambito dei prodotti dichiarati nella cella D59 della scheda della Dichiarazione</v>
      </c>
    </row>
    <row r="48" spans="1:10" ht="63.75">
      <c r="A48" s="89" t="str">
        <f ca="1">Declaration!B67</f>
        <v>8) Tutte le informazioni applicabili relativamente alle fonderie ricevute dalla vostra azienda sono state incluse in questa dichiarazione? (*)</v>
      </c>
      <c r="B48" s="92"/>
      <c r="C48" s="92"/>
      <c r="D48" s="96"/>
      <c r="E48" s="20" t="s">
        <v>782</v>
      </c>
      <c r="F48" s="93"/>
    </row>
    <row r="49" spans="1:10" ht="39">
      <c r="A49" s="90" t="str">
        <f ca="1">Declaration!B68</f>
        <v xml:space="preserve">Tantalio  </v>
      </c>
      <c r="B49" s="89">
        <f>IF(AND($B$14="Yes",$B$19="Yes"),Declaration!D68,0)</f>
        <v>0</v>
      </c>
      <c r="C49" s="89" t="str">
        <f ca="1">IF(H49=1,J49,I49)</f>
        <v>Completare</v>
      </c>
      <c r="D49" s="261" t="str">
        <f>IF(H49=1,"Click here to answer question 8 for Tantalum","")</f>
        <v/>
      </c>
      <c r="E49" s="20" t="s">
        <v>780</v>
      </c>
      <c r="F49" s="94">
        <f>F24</f>
        <v>0</v>
      </c>
      <c r="G49" s="70">
        <f>IF(B49=0,1,0)</f>
        <v>1</v>
      </c>
      <c r="H49" s="71">
        <f>F49*G49</f>
        <v>0</v>
      </c>
      <c r="I49" s="147" t="str">
        <f ca="1">OFFSET(L!$C$1,MATCH("Checker"&amp;"Comp",L!$A:$A,0)-1,SL,,)</f>
        <v>Completare</v>
      </c>
      <c r="J49" s="19" t="str">
        <f ca="1">OFFSET(L!$C$1,MATCH("Checker"&amp;ADDRESS(ROW(),COLUMN(),4),L!$A:$A,0)-1,SL,,)</f>
        <v>Dichiarare se tutte le informazioni sulla fonderia del Tantalio pertinenti sono state fornite nella cella D62 della scheda della Dichiarazione</v>
      </c>
    </row>
    <row r="50" spans="1:10" ht="39">
      <c r="A50" s="90" t="str">
        <f ca="1">Declaration!B69</f>
        <v>Stagno  (*)</v>
      </c>
      <c r="B50" s="89" t="str">
        <f>IF(AND($B$15="Yes",$B$20="Yes"),Declaration!D69,0)</f>
        <v>Yes</v>
      </c>
      <c r="C50" s="89" t="str">
        <f ca="1">IF(H50=1,J50,I50)</f>
        <v>Completare</v>
      </c>
      <c r="D50" s="261" t="str">
        <f>IF(H50=1,"Click here to answer question 8 for Tin","")</f>
        <v/>
      </c>
      <c r="E50" s="20" t="s">
        <v>780</v>
      </c>
      <c r="F50" s="94">
        <f>F25</f>
        <v>1</v>
      </c>
      <c r="G50" s="70">
        <f>IF(B50=0,1,0)</f>
        <v>0</v>
      </c>
      <c r="H50" s="71">
        <f>F50*G50</f>
        <v>0</v>
      </c>
      <c r="I50" s="147" t="str">
        <f ca="1">OFFSET(L!$C$1,MATCH("Checker"&amp;"Comp",L!$A:$A,0)-1,SL,,)</f>
        <v>Completare</v>
      </c>
      <c r="J50" s="19" t="str">
        <f ca="1">OFFSET(L!$C$1,MATCH("Checker"&amp;ADDRESS(ROW(),COLUMN(),4),L!$A:$A,0)-1,SL,,)</f>
        <v>Dichiarare se tutte le informazioni sulla fonderia dello Stagno pertinenti sono state fornite nella cella D63 della scheda della Dichiarazione</v>
      </c>
    </row>
    <row r="51" spans="1:10" ht="39">
      <c r="A51" s="90" t="str">
        <f ca="1">Declaration!B70</f>
        <v xml:space="preserve">Oro  </v>
      </c>
      <c r="B51" s="89">
        <f>IF(AND($B$16="Yes",$B$21="Yes"),Declaration!D70,0)</f>
        <v>0</v>
      </c>
      <c r="C51" s="89" t="str">
        <f ca="1">IF(H51=1,J51,I51)</f>
        <v>Completare</v>
      </c>
      <c r="D51" s="261" t="str">
        <f>IF(H51=1,"Click here to answer question 8 for Gold","")</f>
        <v/>
      </c>
      <c r="E51" s="20" t="s">
        <v>780</v>
      </c>
      <c r="F51" s="94">
        <f>F26</f>
        <v>0</v>
      </c>
      <c r="G51" s="70">
        <f>IF(B51=0,1,0)</f>
        <v>1</v>
      </c>
      <c r="H51" s="71">
        <f>F51*G51</f>
        <v>0</v>
      </c>
      <c r="I51" s="147" t="str">
        <f ca="1">OFFSET(L!$C$1,MATCH("Checker"&amp;"Comp",L!$A:$A,0)-1,SL,,)</f>
        <v>Completare</v>
      </c>
      <c r="J51" s="19" t="str">
        <f ca="1">OFFSET(L!$C$1,MATCH("Checker"&amp;ADDRESS(ROW(),COLUMN(),4),L!$A:$A,0)-1,SL,,)</f>
        <v>Dichiarare se tutte le informazioni sulla fonderia dell'Oro pertinenti sono state fornite nella cella D64 della scheda della Dichiarazione</v>
      </c>
    </row>
    <row r="52" spans="1:10" ht="39">
      <c r="A52" s="90" t="str">
        <f ca="1">Declaration!B71</f>
        <v xml:space="preserve">Tungsteno  </v>
      </c>
      <c r="B52" s="89">
        <f>IF(AND($B$17="Yes",$B$22="Yes"),Declaration!D71,0)</f>
        <v>0</v>
      </c>
      <c r="C52" s="89" t="str">
        <f ca="1">IF(H52=1,J52,I52)</f>
        <v>Completare</v>
      </c>
      <c r="D52" s="261" t="str">
        <f>IF(H52=1,"Click here to answer question 8 for Tungsten","")</f>
        <v/>
      </c>
      <c r="E52" s="20" t="s">
        <v>780</v>
      </c>
      <c r="F52" s="94">
        <f>F27</f>
        <v>0</v>
      </c>
      <c r="G52" s="70">
        <f>IF(B52=0,1,0)</f>
        <v>1</v>
      </c>
      <c r="H52" s="71">
        <f>F52*G52</f>
        <v>0</v>
      </c>
      <c r="I52" s="147" t="str">
        <f ca="1">OFFSET(L!$C$1,MATCH("Checker"&amp;"Comp",L!$A:$A,0)-1,SL,,)</f>
        <v>Completare</v>
      </c>
      <c r="J52" s="19" t="str">
        <f ca="1">OFFSET(L!$C$1,MATCH("Checker"&amp;ADDRESS(ROW(),COLUMN(),4),L!$A:$A,0)-1,SL,,)</f>
        <v>Dichiarare se tutte le informazioni sulla fonderia del Tungsteno pertinenti sono state fornite nella cella D65 della scheda della Dichiarazione</v>
      </c>
    </row>
    <row r="53" spans="1:10" ht="25.5">
      <c r="A53" s="89" t="str">
        <f ca="1">Declaration!B74</f>
        <v>domanda</v>
      </c>
      <c r="B53" s="92"/>
      <c r="C53" s="92"/>
      <c r="D53" s="96"/>
      <c r="E53" s="20" t="s">
        <v>428</v>
      </c>
      <c r="F53" s="93"/>
      <c r="G53" s="93"/>
      <c r="H53" s="93"/>
    </row>
    <row r="54" spans="1:10" ht="39">
      <c r="A54" s="89" t="str">
        <f ca="1">Declaration!B75</f>
        <v>A. È stata adottata una politica di approvvigionamento dei minerali responsabile? (*)</v>
      </c>
      <c r="B54" s="89" t="str">
        <f>Declaration!D75</f>
        <v>Yes</v>
      </c>
      <c r="C54" s="89" t="str">
        <f t="shared" ref="C54:C60" ca="1" si="10">IF(H54=1,J54,I54)</f>
        <v>Completare</v>
      </c>
      <c r="D54" s="95" t="str">
        <f>IF(H54=1,"Click here to answer question (A)","")</f>
        <v/>
      </c>
      <c r="E54" s="20" t="s">
        <v>1273</v>
      </c>
      <c r="F54" s="94">
        <f>IF(SUM(F$24:F$27)=0,0,1)</f>
        <v>1</v>
      </c>
      <c r="G54" s="70">
        <f>IF(B54=0,1,0)</f>
        <v>0</v>
      </c>
      <c r="H54" s="71">
        <f t="shared" ref="H54:H60" si="11">F54*G54</f>
        <v>0</v>
      </c>
      <c r="I54" s="147" t="str">
        <f ca="1">OFFSET(L!$C$1,MATCH("Checker"&amp;"Comp",L!$A:$A,0)-1,SL,,)</f>
        <v>Completare</v>
      </c>
      <c r="J54" s="19" t="str">
        <f ca="1">OFFSET(L!$C$1,MATCH("Checker"&amp;ADDRESS(ROW(),COLUMN(),4),L!$A:$A,0)-1,SL,,)</f>
        <v>Rispondere se la propria società dispone di una politica di approvvigionamento dei minerali responsabile nella cella D75 della scheda Dichiarazione</v>
      </c>
    </row>
    <row r="55" spans="1:10" ht="54.75" customHeight="1">
      <c r="A55" s="89" t="str">
        <f ca="1">Declaration!B77</f>
        <v>B. La politica di approvvigionamento dei minerali responsabile adottata è disponibile pubblicamente sul sito Web della società? (Nota: se la risposta e “Sì”, l’utente dovrà indicare l’URL nel campo commenti). (*)</v>
      </c>
      <c r="B55" s="89" t="str">
        <f>Declaration!D77</f>
        <v>Yes</v>
      </c>
      <c r="C55" s="89" t="str">
        <f t="shared" ca="1" si="10"/>
        <v>Completare</v>
      </c>
      <c r="D55" s="95" t="str">
        <f>IF(H55=1,"Click here to answer question (B)","")</f>
        <v/>
      </c>
      <c r="E55" s="20" t="s">
        <v>1273</v>
      </c>
      <c r="F55" s="94">
        <f t="shared" ref="F55" si="12">F$54</f>
        <v>1</v>
      </c>
      <c r="G55" s="70">
        <f>IF(B55=0,1,0)</f>
        <v>0</v>
      </c>
      <c r="H55" s="71">
        <f t="shared" si="11"/>
        <v>0</v>
      </c>
      <c r="I55" s="147" t="str">
        <f ca="1">OFFSET(L!$C$1,MATCH("Checker"&amp;"Comp",L!$A:$A,0)-1,SL,,)</f>
        <v>Completare</v>
      </c>
      <c r="J55" s="19" t="str">
        <f ca="1">OFFSET(L!$C$1,MATCH("Checker"&amp;ADDRESS(ROW(),COLUMN(),4),L!$A:$A,0)-1,SL,,)</f>
        <v>Rispondere se la propria società ha reso pubblicamente disponibile sul proprio sito Web la politica di approvvigionamento dei minerali responsabile nella cella D77 della scheda Dichiarazione</v>
      </c>
    </row>
    <row r="56" spans="1:10" ht="38.65" customHeight="1">
      <c r="A56" s="89" t="s">
        <v>3</v>
      </c>
      <c r="B56" s="89" t="str">
        <f>Declaration!G77</f>
        <v>www.icel.it</v>
      </c>
      <c r="C56" s="89" t="str">
        <f t="shared" ca="1" si="10"/>
        <v>Completare</v>
      </c>
      <c r="D56" s="95" t="str">
        <f>IF(H56=1,"Click here to specify URL for question (B)","")</f>
        <v/>
      </c>
      <c r="E56" s="20"/>
      <c r="F56" s="94">
        <f>IF(AND(F55=1,B55="Yes"),1,0)</f>
        <v>1</v>
      </c>
      <c r="G56" s="70">
        <f>IF(LEN(B56)&gt;1,0,1)</f>
        <v>0</v>
      </c>
      <c r="H56" s="71">
        <f t="shared" si="11"/>
        <v>0</v>
      </c>
      <c r="I56" s="147" t="str">
        <f ca="1">OFFSET(L!$C$1,MATCH("Checker"&amp;"Comp",L!$A:$A,0)-1,SL,,)</f>
        <v>Completare</v>
      </c>
      <c r="J56" s="140" t="str">
        <f ca="1">OFFSET(L!$C$1,MATCH("Checker"&amp;ADDRESS(ROW(),COLUMN(),4),L!$A:$A,0)-1,SL,,)</f>
        <v>Inserire l'URL nella cella G77 del foglio di lavoro della Dichiarazione se si risponde "Sì" per la domanda B. Il formato dell'URL deve essere "www.nomeazienda.com"</v>
      </c>
    </row>
    <row r="57" spans="1:10" ht="89.25">
      <c r="A57" s="89" t="str">
        <f ca="1">Declaration!B79</f>
        <v>C. Richiedete ai vostri diretti fornitori di approvvigionarsi da fonderie che sono state certificate da parte di una società indipendente di certificazione del settore privato?   (*)</v>
      </c>
      <c r="B57" s="89" t="str">
        <f>Declaration!D79</f>
        <v>Yes</v>
      </c>
      <c r="C57" s="89" t="str">
        <f t="shared" ca="1" si="10"/>
        <v>Completare</v>
      </c>
      <c r="D57" s="95" t="str">
        <f>IF(H57=1,"Click here to answer question (C)","")</f>
        <v/>
      </c>
      <c r="E57" s="20" t="s">
        <v>1273</v>
      </c>
      <c r="F57" s="94">
        <f>F$54</f>
        <v>1</v>
      </c>
      <c r="G57" s="70">
        <f>IF(B57=0,1,0)</f>
        <v>0</v>
      </c>
      <c r="H57" s="71">
        <f t="shared" si="11"/>
        <v>0</v>
      </c>
      <c r="I57" s="147" t="str">
        <f ca="1">OFFSET(L!$C$1,MATCH("Checker"&amp;"Comp",L!$A:$A,0)-1,SL,,)</f>
        <v>Completare</v>
      </c>
      <c r="J57" s="19" t="str">
        <f ca="1">OFFSET(L!$C$1,MATCH("Checker"&amp;ADDRESS(ROW(),COLUMN(),4),L!$A:$A,0)-1,SL,,)</f>
        <v>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v>
      </c>
    </row>
    <row r="58" spans="1:10" ht="39">
      <c r="A58" s="89" t="str">
        <f ca="1">Declaration!B81</f>
        <v>D. Sono state implementate misure di due diligence per l’approvvigionamento responsabile? (*)</v>
      </c>
      <c r="B58" s="89" t="str">
        <f>Declaration!D81</f>
        <v>Yes</v>
      </c>
      <c r="C58" s="89" t="str">
        <f t="shared" ca="1" si="10"/>
        <v>Completare</v>
      </c>
      <c r="D58" s="95" t="str">
        <f>IF(H58=1,"Click here to answer question (D)","")</f>
        <v/>
      </c>
      <c r="E58" s="20" t="s">
        <v>1273</v>
      </c>
      <c r="F58" s="94">
        <f>F$54</f>
        <v>1</v>
      </c>
      <c r="G58" s="70">
        <f>IF(B58=0,1,0)</f>
        <v>0</v>
      </c>
      <c r="H58" s="71">
        <f t="shared" si="11"/>
        <v>0</v>
      </c>
      <c r="I58" s="147" t="str">
        <f ca="1">OFFSET(L!$C$1,MATCH("Checker"&amp;"Comp",L!$A:$A,0)-1,SL,,)</f>
        <v>Completare</v>
      </c>
      <c r="J58" s="19" t="str">
        <f ca="1">OFFSET(L!$C$1,MATCH("Checker"&amp;ADDRESS(ROW(),COLUMN(),4),L!$A:$A,0)-1,SL,,)</f>
        <v>Rispondere se sono state implementate le misure di due diligence per l’approvvigionamento responsabile nella cella D81 della scheda Dichiarazione</v>
      </c>
    </row>
    <row r="59" spans="1:10" ht="39">
      <c r="A59" s="89" t="str">
        <f ca="1">Declaration!B83</f>
        <v>E. La società conduce indagini sui minerali di conflitto per i fornitori interessati? (*)</v>
      </c>
      <c r="B59" s="89" t="str">
        <f>Declaration!D83</f>
        <v>Yes, in conformance with IPC1755 (e.g., CMRT)</v>
      </c>
      <c r="C59" s="89" t="str">
        <f t="shared" ca="1" si="10"/>
        <v>Completare</v>
      </c>
      <c r="D59" s="95" t="str">
        <f>IF(H59=1,"Click here to answer question (E)","")</f>
        <v/>
      </c>
      <c r="E59" s="20" t="s">
        <v>1273</v>
      </c>
      <c r="F59" s="94">
        <f>F$54</f>
        <v>1</v>
      </c>
      <c r="G59" s="70">
        <f>IF(B59=0,1,0)</f>
        <v>0</v>
      </c>
      <c r="H59" s="71">
        <f t="shared" si="11"/>
        <v>0</v>
      </c>
      <c r="I59" s="147" t="str">
        <f ca="1">OFFSET(L!$C$1,MATCH("Checker"&amp;"Comp",L!$A:$A,0)-1,SL,,)</f>
        <v>Completare</v>
      </c>
      <c r="J59" s="19" t="str">
        <f ca="1">OFFSET(L!$C$1,MATCH("Checker"&amp;ADDRESS(ROW(),COLUMN(),4),L!$A:$A,0)-1,SL,,)</f>
        <v>Rispondere se si richiede ai propri fornitori di completare il Modello del Rapporto sui Minerali del Conflitto nella cella D83 della scheda della Dichiarazione</v>
      </c>
    </row>
    <row r="60" spans="1:10" ht="39">
      <c r="A60" s="89" t="str">
        <f ca="1">Declaration!B85</f>
        <v>F.Avete verificato le informazioni di dovuta diligenza ricevute dai vostri fornitori rispetto alle aspettative della vostra azienda? (*)</v>
      </c>
      <c r="B60" s="89" t="str">
        <f>Declaration!D85</f>
        <v>Yes</v>
      </c>
      <c r="C60" s="89" t="str">
        <f t="shared" ca="1" si="10"/>
        <v>Completare</v>
      </c>
      <c r="D60" s="95" t="str">
        <f>IF(H60=1,"Click here to answer question (F)","")</f>
        <v/>
      </c>
      <c r="E60" s="20" t="s">
        <v>1273</v>
      </c>
      <c r="F60" s="94">
        <f>F$54</f>
        <v>1</v>
      </c>
      <c r="G60" s="70">
        <f>IF(B60=0,1,0)</f>
        <v>0</v>
      </c>
      <c r="H60" s="71">
        <f t="shared" si="11"/>
        <v>0</v>
      </c>
      <c r="I60" s="147" t="str">
        <f ca="1">OFFSET(L!$C$1,MATCH("Checker"&amp;"Comp",L!$A:$A,0)-1,SL,,)</f>
        <v>Completare</v>
      </c>
      <c r="J60" s="19" t="str">
        <f ca="1">OFFSET(L!$C$1,MATCH("Checker"&amp;ADDRESS(ROW(),COLUMN(),4),L!$A:$A,0)-1,SL,,)</f>
        <v>Rispondere se si verificano le risposte dei propri fornitori rispetto alle aspettative della propria società nella cella D85 della scheda della Dichiarazione</v>
      </c>
    </row>
    <row r="61" spans="1:10" ht="15" hidden="1">
      <c r="A61" s="89"/>
      <c r="B61" s="89"/>
      <c r="C61" s="89"/>
      <c r="D61" s="95"/>
      <c r="E61" s="20"/>
      <c r="F61" s="94"/>
      <c r="G61" s="70"/>
      <c r="H61" s="71"/>
      <c r="I61" s="147"/>
    </row>
    <row r="62" spans="1:10" ht="39">
      <c r="A62" s="89" t="str">
        <f ca="1">Declaration!B87</f>
        <v>G. Il vostro processo di verifica include la gestione di azioni correttive? (*)</v>
      </c>
      <c r="B62" s="89" t="str">
        <f>Declaration!D87</f>
        <v>Yes</v>
      </c>
      <c r="C62" s="89" t="str">
        <f t="shared" ref="C62:C68" ca="1" si="13">IF(H62=1,J62,I62)</f>
        <v>Completare</v>
      </c>
      <c r="D62" s="95" t="str">
        <f>IF(H62=1,"Click here to answer question (G)","")</f>
        <v/>
      </c>
      <c r="E62" s="20" t="s">
        <v>1273</v>
      </c>
      <c r="F62" s="94">
        <f>F$54</f>
        <v>1</v>
      </c>
      <c r="G62" s="70">
        <f>IF(B62=0,1,0)</f>
        <v>0</v>
      </c>
      <c r="H62" s="71">
        <f t="shared" ref="H62:H69" si="14">F62*G62</f>
        <v>0</v>
      </c>
      <c r="I62" s="147" t="str">
        <f ca="1">OFFSET(L!$C$1,MATCH("Checker"&amp;"Comp",L!$A:$A,0)-1,SL,,)</f>
        <v>Completare</v>
      </c>
      <c r="J62" s="19" t="str">
        <f ca="1">OFFSET(L!$C$1,MATCH("Checker"&amp;ADDRESS(ROW(),COLUMN(),4),L!$A:$A,0)-1,SL,,)</f>
        <v>Rispondere se il proprio processo di verifica include la gestione di azioni correttive nella cella D87 della scheda della Dichiarazione</v>
      </c>
    </row>
    <row r="63" spans="1:10" ht="39">
      <c r="A63" s="89" t="str">
        <f ca="1">Declaration!B89</f>
        <v>H. La società è tenuta a presentare una comunicazione annuale sui minerali di conflitto? (*)</v>
      </c>
      <c r="B63" s="89" t="str">
        <f>Declaration!D89</f>
        <v>No</v>
      </c>
      <c r="C63" s="89" t="str">
        <f t="shared" ca="1" si="13"/>
        <v>Completare</v>
      </c>
      <c r="D63" s="95" t="str">
        <f>IF(H63=1,"Click here to answer question (H)","")</f>
        <v/>
      </c>
      <c r="E63" s="20" t="s">
        <v>1273</v>
      </c>
      <c r="F63" s="94">
        <f>F$54</f>
        <v>1</v>
      </c>
      <c r="G63" s="70">
        <f>IF(B63=0,1,0)</f>
        <v>0</v>
      </c>
      <c r="H63" s="71">
        <f t="shared" si="14"/>
        <v>0</v>
      </c>
      <c r="I63" s="147" t="str">
        <f ca="1">OFFSET(L!$C$1,MATCH("Checker"&amp;"Comp",L!$A:$A,0)-1,SL,,)</f>
        <v>Completare</v>
      </c>
      <c r="J63" s="19" t="str">
        <f ca="1">OFFSET(L!$C$1,MATCH("Checker"&amp;ADDRESS(ROW(),COLUMN(),4),L!$A:$A,0)-1,SL,,)</f>
        <v>Rispondere se si è soggetti alla richiesta di Divulgazione della SEC, al regolamento UE o a entrambi nella cella D89 della scheda Dichiarazione</v>
      </c>
    </row>
    <row r="64" spans="1:10" ht="39">
      <c r="A64" s="89" t="s">
        <v>1266</v>
      </c>
      <c r="B64" s="89" t="str">
        <f ca="1">IF(G64=1,"No products or item numbers listed","One or more product / item numbers have been provided")</f>
        <v>One or more product / item numbers have been provided</v>
      </c>
      <c r="C64" s="89" t="str">
        <f t="shared" ca="1" si="13"/>
        <v>Completare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Completare</v>
      </c>
      <c r="J64" s="19" t="str">
        <f ca="1">OFFSET(L!$C$1,MATCH("Checker"&amp;ADDRESS(ROW(),COLUMN(),4),L!$A:$A,0)-1,SL,,)</f>
        <v>Fornire, se pertinente, 1 o più Prodotti oppure Numeri di Articoli ai quali questa dichiarazione si applica. Dalla scheda della Dichiarazione selezionare l'hyperlink nella cella 6H1 per inserire la scheda della Lista dei Prodotti</v>
      </c>
    </row>
    <row r="65" spans="1:12" ht="39">
      <c r="A65" s="89" t="s">
        <v>14996</v>
      </c>
      <c r="B65" s="89"/>
      <c r="C65" s="89" t="str">
        <f t="shared" ca="1" si="13"/>
        <v>Completare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Completare</v>
      </c>
      <c r="J65" s="19" t="str">
        <f ca="1">OFFSET(L!$C$1,MATCH("Checker"&amp;ADDRESS(ROW(),COLUMN(),4),L!$A:$A,0)-1,SL,,)</f>
        <v>Fornire la lista delle fonderie di tantalio che contribuiscono a fornire il materiale alla catena di fornitura nella scheda della Lista delle Fonderie</v>
      </c>
      <c r="K65" s="154">
        <f>IF(H14+H19&gt;0,1,0)</f>
        <v>0</v>
      </c>
      <c r="L65" s="19" t="e">
        <f ca="1">OFFSET(L!$C$1,MATCH("Checker"&amp;ADDRESS(ROW(),COLUMN(),4),L!$A:$A,0)-1,SL,,)</f>
        <v>#N/A</v>
      </c>
    </row>
    <row r="66" spans="1:12" ht="39">
      <c r="A66" s="89" t="s">
        <v>1806</v>
      </c>
      <c r="B66" s="89"/>
      <c r="C66" s="89" t="str">
        <f t="shared" ca="1" si="13"/>
        <v>Completare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Completare</v>
      </c>
      <c r="J66" s="19" t="str">
        <f ca="1">OFFSET(L!$C$1,MATCH("Checker"&amp;ADDRESS(ROW(),COLUMN(),4),L!$A:$A,0)-1,SL,,)</f>
        <v>Fornire la lista delle fonderie di stagno che contribuiscono a fornire il materiale alla catena di fornitura nella scheda della Lista delle Fonderie</v>
      </c>
      <c r="K66" s="154">
        <f>IF(H15+H20&gt;0,1,0)</f>
        <v>0</v>
      </c>
      <c r="L66" s="19" t="e">
        <f ca="1">OFFSET(L!$C$1,MATCH("Checker"&amp;ADDRESS(ROW(),COLUMN(),4),L!$A:$A,0)-1,SL,,)</f>
        <v>#N/A</v>
      </c>
    </row>
    <row r="67" spans="1:12" ht="39">
      <c r="A67" s="89" t="s">
        <v>1807</v>
      </c>
      <c r="B67" s="89"/>
      <c r="C67" s="89" t="str">
        <f t="shared" ca="1" si="13"/>
        <v>Completare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Completare</v>
      </c>
      <c r="J67" s="19" t="str">
        <f ca="1">OFFSET(L!$C$1,MATCH("Checker"&amp;ADDRESS(ROW(),COLUMN(),4),L!$A:$A,0)-1,SL,,)</f>
        <v>Fornire la lista delle fonderie di oro che contribuiscono a fornire il materiale alla catena di fornitura nella scheda della Lista delle Fonderie</v>
      </c>
      <c r="K67" s="154">
        <f>IF(H16+H21&gt;0,1,0)</f>
        <v>0</v>
      </c>
      <c r="L67" s="19" t="e">
        <f ca="1">OFFSET(L!$C$1,MATCH("Checker"&amp;ADDRESS(ROW(),COLUMN(),4),L!$A:$A,0)-1,SL,,)</f>
        <v>#N/A</v>
      </c>
    </row>
    <row r="68" spans="1:12" ht="39">
      <c r="A68" s="89" t="s">
        <v>1808</v>
      </c>
      <c r="B68" s="89"/>
      <c r="C68" s="89" t="str">
        <f t="shared" ca="1" si="13"/>
        <v>Completare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Completare</v>
      </c>
      <c r="J68" s="19" t="str">
        <f ca="1">OFFSET(L!$C$1,MATCH("Checker"&amp;ADDRESS(ROW(),COLUMN(),4),L!$A:$A,0)-1,SL,,)</f>
        <v>Fornire la lista delle fonderie di tungsteno che contribuiscono a fornire il materiale alla catena di fornitura nella scheda della Lista delle Fonderie</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Completare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6" sqref="D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Campo da compilare solo se  è stato selezionato il livello  "Prodotto (o lista di prodotti)" nel foglio "Dichiarazione"</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31.5">
      <c r="A5" s="131"/>
      <c r="B5" s="132" t="str">
        <f ca="1">OFFSET(L!$C$1,MATCH("Product List"&amp;ADDRESS(ROW(),COLUMN(),4),L!$A:$A,0)-1,SL,,)</f>
        <v>Riferimento del prodotto del rispondente (*)</v>
      </c>
      <c r="C5" s="132" t="str">
        <f ca="1">OFFSET(L!$C$1,MATCH("Product List"&amp;ADDRESS(ROW(),COLUMN(),4),L!$A:$A,0)-1,SL,,)</f>
        <v>Nome del prodotto del rispondente</v>
      </c>
      <c r="D5" s="72" t="str">
        <f ca="1">OFFSET(L!$C$1,MATCH("Product List"&amp;ADDRESS(ROW(),COLUMN(),4),L!$A:$A,0)-1,SL,,)</f>
        <v>Commenti</v>
      </c>
      <c r="E5" s="24"/>
      <c r="F5"/>
    </row>
    <row r="6" spans="1:6" ht="15.75">
      <c r="A6" s="128"/>
      <c r="B6" s="274" t="s">
        <v>15828</v>
      </c>
      <c r="C6" s="98" t="s">
        <v>15829</v>
      </c>
      <c r="D6" s="98" t="s">
        <v>15830</v>
      </c>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26"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63.75">
      <c r="A4" s="191" t="str">
        <f ca="1">OFFSET(L!$C$1,MATCH("Smelter Look-up"&amp;ADDRESS(ROW(),COLUMN(),4),L!$A:$A,0)-1,SL,,)</f>
        <v>Metallo</v>
      </c>
      <c r="B4" s="191" t="str">
        <f ca="1">OFFSET(L!$C$1,MATCH("Smelter Look-up"&amp;ADDRESS(ROW(),COLUMN(),4),L!$A:$A,0)-1,SL,,)</f>
        <v>Ricerca fonderia (*)</v>
      </c>
      <c r="C4" s="191" t="str">
        <f ca="1">OFFSET(L!$C$1,MATCH("Smelter Look-up"&amp;ADDRESS(ROW(),COLUMN(),4),L!$A:$A,0)-1,SL,,)</f>
        <v>Nomi delle fonderie comuni</v>
      </c>
      <c r="D4" s="191" t="str">
        <f ca="1">OFFSET(L!$C$1,MATCH("Smelter Look-up"&amp;ADDRESS(ROW(),COLUMN(),4),L!$A:$A,0)-1,SL,,)</f>
        <v>Localizzazione della Fonderia: Paese</v>
      </c>
      <c r="E4" s="191" t="str">
        <f ca="1">OFFSET(L!$C$1,MATCH("Smelter Look-up"&amp;ADDRESS(ROW(),COLUMN(),4),L!$A:$A,0)-1,SL,,)</f>
        <v>ID fonderia</v>
      </c>
      <c r="F4" s="191" t="str">
        <f ca="1">OFFSET(L!$C$1,MATCH("Smelter Look-up"&amp;ADDRESS(ROW(),COLUMN(),4),L!$A:$A,0)-1,SL,,)</f>
        <v>Origine del codice identificativo della fonderia</v>
      </c>
      <c r="G4" s="191" t="str">
        <f ca="1">OFFSET(L!$C$1,MATCH("Smelter Look-up"&amp;ADDRESS(ROW(),COLUMN(),4),L!$A:$A,0)-1,SL,,)</f>
        <v>Indirizzo Fonderia (*)</v>
      </c>
      <c r="H4" s="191" t="str">
        <f ca="1">OFFSET(L!$C$1,MATCH("Smelter Look-up"&amp;ADDRESS(ROW(),COLUMN(),4),L!$A:$A,0)-1,SL,,)</f>
        <v>Città Fonderia (*)</v>
      </c>
      <c r="I4" s="191" t="str">
        <f ca="1">OFFSET(L!$C$1,MATCH("Smelter Look-up"&amp;ADDRESS(ROW(),COLUMN(),4),L!$A:$A,0)-1,SL,,)</f>
        <v>Localizzazione della Fonderia: Stato / Provincia</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Walter Mariani</cp:lastModifiedBy>
  <cp:lastPrinted>2015-04-21T20:47:43Z</cp:lastPrinted>
  <dcterms:created xsi:type="dcterms:W3CDTF">2010-06-21T21:00:23Z</dcterms:created>
  <dcterms:modified xsi:type="dcterms:W3CDTF">2025-07-22T07:10:29Z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